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24226"/>
  <mc:AlternateContent xmlns:mc="http://schemas.openxmlformats.org/markup-compatibility/2006">
    <mc:Choice Requires="x15">
      <x15ac:absPath xmlns:x15ac="http://schemas.microsoft.com/office/spreadsheetml/2010/11/ac" url="https://arionbanki.sharepoint.com/sites/FMS-Reikningshald/rs og rshlutareikningar/Uppgjörskynningar/Factbook/202312/"/>
    </mc:Choice>
  </mc:AlternateContent>
  <xr:revisionPtr revIDLastSave="32" documentId="8_{374CB467-468C-410F-8295-D0ADA5F8DCEB}" xr6:coauthVersionLast="47" xr6:coauthVersionMax="47" xr10:uidLastSave="{071DB7C5-5609-43C3-93E4-404468B8AB5D}"/>
  <bookViews>
    <workbookView xWindow="33840" yWindow="0" windowWidth="25800" windowHeight="2100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3" r:id="rId14"/>
    <sheet name="Disclaimer" sheetId="120" r:id="rId15"/>
    <sheet name="KFI old" sheetId="83" state="hidden" r:id="rId16"/>
    <sheet name="P&amp;L_Q (2) old" sheetId="75" state="hidden" r:id="rId17"/>
    <sheet name="FTE´S old" sheetId="31" state="hidden" r:id="rId18"/>
    <sheet name="LB_Q old" sheetId="61" state="hidden" r:id="rId19"/>
  </sheets>
  <definedNames>
    <definedName name="AS2DocOpenMode" hidden="1">"AS2DocumentEdit"</definedName>
    <definedName name="AS2HasNoAutoHeaderFooter">"OFF"</definedName>
    <definedName name="Budgetdiv3" localSheetId="15">#REF!</definedName>
    <definedName name="Budgetdiv3" localSheetId="16">#REF!</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years'!$A$1:$F$54</definedName>
    <definedName name="_xlnm.Print_Area" localSheetId="12">'Capital 9 quarters'!$A$1:$J$54</definedName>
    <definedName name="_xlnm.Print_Area" localSheetId="0">Cover!$A$1:$L$58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Years'!$A$1:$F$45</definedName>
    <definedName name="_xlnm.Print_Area" localSheetId="7">'KFI 9 quarters'!$A$1:$J$45</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Segments!$A$2:$J$144</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<sst xmlns="http://schemas.openxmlformats.org/spreadsheetml/2006/main" count="1168" uniqueCount="456">
  <si>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</si>
  <si>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</si>
  <si>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</si>
  <si>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</si>
  <si>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</si>
  <si>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</si>
  <si>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</si>
  <si>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</si>
  <si>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</si>
  <si>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</si>
  <si>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</si>
  <si>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</si>
  <si>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</si>
  <si>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</si>
  <si>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</si>
  <si>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</si>
  <si>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</si>
  <si>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</si>
  <si>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</si>
  <si>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</si>
  <si>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</si>
  <si>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</si>
  <si>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</si>
  <si>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</si>
  <si>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</si>
  <si>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</si>
  <si>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</si>
  <si>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</si>
  <si>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</si>
  <si>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</si>
  <si>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</si>
  <si>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</si>
  <si>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</si>
  <si>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</si>
  <si>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</si>
  <si>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</si>
  <si>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</si>
  <si>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</si>
  <si>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</si>
  <si>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</si>
  <si>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</si>
  <si>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</si>
  <si>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</si>
  <si>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</si>
  <si>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</si>
  <si>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</si>
  <si>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</si>
  <si>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</si>
  <si>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</si>
  <si>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</si>
  <si>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</si>
  <si>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</si>
  <si>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</si>
  <si>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</si>
  <si>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</si>
  <si>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</si>
  <si>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</si>
  <si>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</si>
  <si>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</si>
  <si>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</si>
  <si>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</si>
  <si>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</si>
  <si>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</si>
  <si>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</si>
  <si>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</si>
  <si>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</si>
  <si>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</si>
  <si>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</si>
  <si>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</si>
  <si>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</si>
  <si>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</si>
  <si>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</si>
  <si>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</si>
  <si>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</si>
  <si>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</si>
  <si>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</si>
  <si>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</si>
  <si>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</si>
  <si>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</si>
  <si>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</si>
  <si>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</si>
  <si>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</si>
  <si>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</si>
  <si>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</si>
  <si>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</si>
  <si>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</si>
  <si>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</si>
  <si>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</si>
  <si>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</si>
  <si>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</si>
  <si>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</si>
  <si>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</si>
  <si>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</si>
  <si>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</si>
  <si>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</si>
  <si>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</si>
  <si>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</si>
  <si>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</si>
  <si>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</si>
  <si>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</si>
  <si>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</si>
  <si>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</si>
  <si>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</si>
  <si>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</si>
  <si>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</si>
  <si>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</si>
  <si>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</si>
  <si>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</si>
  <si>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</si>
  <si>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</si>
  <si>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</si>
  <si>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</si>
  <si>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</si>
  <si>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</si>
  <si>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</si>
  <si>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</si>
  <si>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</si>
  <si>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</si>
  <si>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</si>
  <si>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</si>
  <si>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</si>
  <si>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</si>
  <si>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</si>
  <si>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</si>
  <si>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</si>
  <si>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</si>
  <si>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</si>
  <si>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</si>
  <si>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</si>
  <si>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</si>
  <si>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</si>
  <si>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</si>
  <si>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</si>
  <si>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</si>
  <si>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</si>
  <si>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</si>
  <si>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</si>
  <si>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</si>
  <si>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</si>
  <si>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</si>
  <si>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</si>
  <si>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</si>
  <si>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</si>
  <si>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</si>
  <si>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</si>
  <si>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</si>
  <si>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</si>
  <si>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</si>
  <si>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</si>
  <si>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</si>
  <si>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</si>
  <si>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</si>
  <si>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</si>
  <si>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</si>
  <si>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</si>
  <si>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</si>
  <si>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</si>
  <si>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</si>
  <si>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</si>
  <si>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</si>
  <si>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</si>
  <si>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</si>
  <si>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</si>
  <si>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</si>
  <si>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</si>
  <si>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</si>
  <si>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</si>
  <si>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</si>
  <si>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</si>
  <si>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</si>
  <si>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</si>
  <si>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</si>
  <si>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</si>
  <si>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</si>
  <si>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</si>
  <si>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</si>
  <si>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</si>
  <si>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</si>
  <si>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</si>
  <si>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</si>
  <si>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</si>
  <si>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</si>
  <si>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</si>
  <si>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</si>
  <si>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</si>
  <si>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</si>
  <si>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</si>
  <si>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</si>
  <si>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</si>
  <si>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</si>
  <si>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</si>
  <si>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</si>
  <si>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</si>
  <si>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</si>
  <si>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</si>
  <si>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</si>
  <si>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</si>
  <si>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</si>
  <si>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</si>
  <si>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</si>
  <si>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</si>
  <si>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</si>
  <si>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</si>
  <si>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</si>
  <si>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</si>
  <si>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</si>
  <si>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</si>
  <si>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</si>
  <si>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</si>
  <si>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</si>
  <si>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</si>
  <si>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</si>
  <si>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</si>
  <si>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</si>
  <si>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</si>
  <si>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</si>
  <si>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</si>
  <si>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</si>
  <si>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</si>
  <si>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</si>
  <si>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</si>
  <si>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</si>
  <si>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</si>
  <si>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</si>
  <si>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</si>
  <si>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</si>
  <si>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</si>
  <si>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</si>
  <si>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</si>
  <si>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</si>
  <si>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</si>
  <si>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</si>
  <si>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</si>
  <si>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</si>
  <si>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</si>
  <si>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</si>
  <si>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</si>
  <si>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</si>
  <si>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</si>
  <si>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</si>
  <si>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</si>
  <si>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</si>
  <si>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</si>
  <si>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</si>
  <si>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</si>
  <si>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</si>
  <si>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</si>
  <si>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</si>
  <si>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</si>
  <si>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</si>
  <si>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</si>
  <si>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</si>
  <si>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</si>
  <si>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</si>
  <si>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</si>
  <si>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</si>
  <si>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</si>
  <si>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</si>
  <si>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</si>
  <si>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</si>
  <si>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</si>
  <si>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</si>
  <si>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</si>
  <si>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</si>
  <si>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</si>
  <si>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</si>
  <si>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</si>
  <si>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</si>
  <si>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</si>
  <si>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</si>
  <si>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</si>
  <si>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</si>
  <si>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</si>
  <si>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</si>
  <si>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</si>
  <si>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</si>
  <si>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</si>
  <si>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</si>
  <si>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</si>
  <si>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</si>
  <si>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</si>
  <si>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</si>
  <si>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</si>
  <si>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</si>
  <si>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</si>
  <si>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</si>
  <si>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</si>
  <si>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</si>
  <si>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</si>
  <si>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</si>
  <si>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</si>
  <si>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</si>
  <si>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</si>
  <si>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</si>
  <si>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</si>
  <si>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</si>
  <si>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</si>
  <si>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</si>
  <si>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</si>
  <si>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</si>
  <si>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</si>
  <si>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</si>
  <si>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</si>
  <si>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</si>
  <si>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</si>
  <si>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</si>
  <si>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</si>
  <si>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</si>
  <si>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</si>
  <si>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</si>
  <si>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</si>
  <si>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</si>
  <si>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</si>
  <si>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</si>
  <si>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</si>
  <si>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</si>
  <si>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</si>
  <si>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</si>
  <si>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</si>
  <si>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</si>
  <si>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</si>
  <si>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</si>
  <si>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</si>
  <si>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</si>
  <si>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</si>
  <si>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</si>
  <si>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</si>
  <si>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</si>
  <si>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</si>
  <si>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</si>
  <si>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</si>
  <si>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</si>
  <si>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</si>
  <si>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</si>
  <si>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</si>
  <si>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</si>
  <si>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</si>
  <si>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</si>
  <si>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</si>
  <si>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</si>
  <si>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</si>
  <si>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</si>
  <si>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</si>
  <si>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</si>
  <si>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</si>
  <si>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</si>
  <si>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</si>
  <si>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</si>
  <si>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</si>
  <si>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</si>
  <si>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</si>
  <si>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</si>
  <si>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</si>
  <si>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</si>
  <si>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</si>
  <si>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</si>
  <si>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</si>
  <si>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</si>
  <si>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</si>
  <si>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</si>
  <si>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</si>
  <si>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</si>
  <si>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</si>
  <si>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</si>
  <si>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</si>
  <si>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</si>
  <si>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</si>
  <si>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</si>
  <si>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</si>
  <si>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</si>
  <si>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</si>
  <si>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</si>
  <si>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</si>
  <si>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</si>
  <si>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</si>
  <si>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</si>
  <si>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</si>
  <si>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</si>
  <si>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</si>
  <si>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</si>
  <si>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</si>
  <si>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</si>
  <si>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</si>
  <si>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</si>
  <si>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</si>
  <si>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</si>
  <si>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</si>
  <si>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</si>
  <si>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</si>
  <si>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</si>
  <si>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Earnings before income tax</t>
  </si>
  <si>
    <t>Additional Tier 1 capital</t>
  </si>
  <si>
    <t>REA/Total assets</t>
  </si>
  <si>
    <t>Risk weighted exposure amount (REA)</t>
  </si>
  <si>
    <t>Total risk weighted exposure amount</t>
  </si>
  <si>
    <t>Net financial (loss) income</t>
  </si>
  <si>
    <t>Other net operating income / loss</t>
  </si>
  <si>
    <t>Discontinued operations held for sale, net of income tax</t>
  </si>
  <si>
    <t>Adjustment under IFRS 9 transitional arrangements</t>
  </si>
  <si>
    <t>Return on REA</t>
  </si>
  <si>
    <t>Unaudited interim net earnings</t>
  </si>
  <si>
    <t>Q4 2021</t>
  </si>
  <si>
    <t>Total own funds</t>
  </si>
  <si>
    <t>Tier 2 instruments</t>
  </si>
  <si>
    <t>Tier 2 instruments of financial sector entities (signif. invest.)</t>
  </si>
  <si>
    <t>Capital ratios*</t>
  </si>
  <si>
    <t>Q1 2022</t>
  </si>
  <si>
    <t>Q2 2022</t>
  </si>
  <si>
    <t>Q3 2022</t>
  </si>
  <si>
    <t>Q4 2022</t>
  </si>
  <si>
    <t>Q1 2023</t>
  </si>
  <si>
    <t>Q2 2023</t>
  </si>
  <si>
    <t>Q3 2023</t>
  </si>
  <si>
    <t>Q4 2023</t>
  </si>
  <si>
    <t>*Capital ratios include interim profit in Q1 and Q3 figures</t>
  </si>
  <si>
    <t>Non-controlling interest eligible for inclusion in CET1 capital</t>
  </si>
  <si>
    <t>Operating income / Risk exposure amount</t>
  </si>
  <si>
    <t>Return on risk exposure amount</t>
  </si>
  <si>
    <t>Number of FTE´s at period end</t>
  </si>
  <si>
    <t>Net earnings from continuing operations</t>
  </si>
  <si>
    <t>Credit Risk, loans*</t>
  </si>
  <si>
    <t>Capital**</t>
  </si>
  <si>
    <t>Capital ratios**</t>
  </si>
  <si>
    <t>*Capital ratios include interim profit</t>
  </si>
  <si>
    <t>Capital</t>
  </si>
  <si>
    <t>Insurance revenue</t>
  </si>
  <si>
    <t>Insurance service expenses</t>
  </si>
  <si>
    <t>Insurance service results</t>
  </si>
  <si>
    <t>Cost-to-core income ratio*</t>
  </si>
  <si>
    <t>Share of stage 3 loans, gross**</t>
  </si>
  <si>
    <t>* *(Gross carrying value of stage 3 loans + gross carrying value of POCI loans in Risk class 4 or lower) / Gross carrying value of loans to customers</t>
  </si>
  <si>
    <t>*Including expenses from insurance operations</t>
  </si>
  <si>
    <t>Cost-to-income ratio*</t>
  </si>
  <si>
    <t>** (Gross carrying value of stage 3 loans + gross carrying value of POCI loans in Risk class 4 or lower) / Gross carrying value of loans to customers</t>
  </si>
  <si>
    <t>Operating segments - Quarters summary</t>
  </si>
  <si>
    <t>Markets and Stefnir:</t>
  </si>
  <si>
    <t>Net financial income (loss)</t>
  </si>
  <si>
    <t>Total operating income</t>
  </si>
  <si>
    <t>Allocated expenses</t>
  </si>
  <si>
    <t>Bank levy</t>
  </si>
  <si>
    <t>Allocated equity</t>
  </si>
  <si>
    <t>Corporate &amp; Investment Bank including insurance*:</t>
  </si>
  <si>
    <t>Other operating income (loss)</t>
  </si>
  <si>
    <t>Earnings (loss) before income tax</t>
  </si>
  <si>
    <t>*From Q1 2022 the operation of Vördur has been split into individuals and corporates and is presented as such as part of Corporate &amp; Investment Banking and Retail banking, respectively</t>
  </si>
  <si>
    <t>Retail Bank including insurance*:</t>
  </si>
  <si>
    <t>Treasury and Market making:</t>
  </si>
  <si>
    <t>Total operating income (loss)</t>
  </si>
  <si>
    <t>Vördur*:</t>
  </si>
  <si>
    <t>Net fee and commission income (expense)</t>
  </si>
  <si>
    <t>Share of profit of associates</t>
  </si>
  <si>
    <t>Subsidiaries excluding Stefnir and Vördur:</t>
  </si>
  <si>
    <t>Net interest income (expense)</t>
  </si>
  <si>
    <t>Supporting units and eliminations:</t>
  </si>
  <si>
    <t>Net interest income (loss)</t>
  </si>
  <si>
    <t>Net insurance income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</si>
</sst>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2">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0"/>
      <color rgb="FF005FAB"/>
      <name val="Arial"/>
      <family val="2"/>
    </font>
    <font>
      <sz val="11"/>
      <color rgb="FFFF0000"/>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285">
    <xf numFmtId="0" fontId="0" fillId="0" borderId="0" xfId="0"/>
    <xf numFmtId="0" fontId="15" fillId="0" borderId="0" xfId="0" applyFont="1"/>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Alignment="1">
      <alignment horizontal="left" vertical="center"/>
    </xf>
    <xf numFmtId="0" fontId="17" fillId="0" borderId="0" xfId="0" applyFont="1"/>
    <xf numFmtId="14" fontId="17" fillId="0" borderId="0" xfId="0" applyNumberFormat="1" applyFont="1" applyAlignment="1">
      <alignment horizontal="right"/>
    </xf>
    <xf numFmtId="0" fontId="20" fillId="0" borderId="0" xfId="0" applyFont="1"/>
    <xf numFmtId="3" fontId="20" fillId="0" borderId="0" xfId="0" applyNumberFormat="1" applyFont="1"/>
    <xf numFmtId="166" fontId="20" fillId="0" borderId="0" xfId="1" applyNumberFormat="1" applyFont="1" applyFill="1"/>
    <xf numFmtId="0" fontId="19" fillId="0" borderId="0" xfId="0" applyFont="1"/>
    <xf numFmtId="0" fontId="24" fillId="0" borderId="0" xfId="0" applyFont="1"/>
    <xf numFmtId="0" fontId="25" fillId="0" borderId="0" xfId="0" applyFont="1" applyAlignment="1">
      <alignment horizontal="right" vertical="center"/>
    </xf>
    <xf numFmtId="3" fontId="24" fillId="0" borderId="0" xfId="0" applyNumberFormat="1" applyFont="1"/>
    <xf numFmtId="3" fontId="26" fillId="0" borderId="0" xfId="0" applyNumberFormat="1" applyFont="1" applyAlignment="1">
      <alignment horizontal="right"/>
    </xf>
    <xf numFmtId="0" fontId="26" fillId="0" borderId="0" xfId="0" applyFont="1"/>
    <xf numFmtId="0" fontId="24" fillId="0" borderId="0" xfId="0" applyFont="1" applyAlignment="1">
      <alignment horizontal="right"/>
    </xf>
    <xf numFmtId="0" fontId="26" fillId="0" borderId="0" xfId="0" applyFont="1" applyAlignment="1">
      <alignment horizontal="right"/>
    </xf>
    <xf numFmtId="9" fontId="24" fillId="0" borderId="0" xfId="1" applyFont="1" applyFill="1"/>
    <xf numFmtId="167" fontId="27" fillId="0" borderId="0" xfId="0" applyNumberFormat="1" applyFont="1" applyAlignment="1">
      <alignment horizontal="right"/>
    </xf>
    <xf numFmtId="3" fontId="23" fillId="0" borderId="0" xfId="0" applyNumberFormat="1" applyFont="1" applyAlignment="1">
      <alignment vertical="center"/>
    </xf>
    <xf numFmtId="0" fontId="23" fillId="0" borderId="0" xfId="0" applyFont="1" applyAlignment="1">
      <alignment vertical="center"/>
    </xf>
    <xf numFmtId="166" fontId="24" fillId="0" borderId="0" xfId="1" applyNumberFormat="1" applyFont="1" applyFill="1" applyBorder="1"/>
    <xf numFmtId="166" fontId="24" fillId="0" borderId="0" xfId="0" applyNumberFormat="1" applyFont="1"/>
    <xf numFmtId="191" fontId="24" fillId="0" borderId="0" xfId="0" applyNumberFormat="1" applyFont="1"/>
    <xf numFmtId="191" fontId="15" fillId="0" borderId="0" xfId="0" applyNumberFormat="1" applyFont="1"/>
    <xf numFmtId="191" fontId="15" fillId="0" borderId="0" xfId="0" applyNumberFormat="1" applyFont="1" applyAlignment="1">
      <alignment horizontal="right"/>
    </xf>
    <xf numFmtId="0" fontId="22" fillId="0" borderId="0" xfId="0" applyFont="1"/>
    <xf numFmtId="9" fontId="24" fillId="0" borderId="0" xfId="1" applyFont="1" applyFill="1" applyBorder="1"/>
    <xf numFmtId="9" fontId="26" fillId="0" borderId="0" xfId="0" applyNumberFormat="1" applyFont="1"/>
    <xf numFmtId="10" fontId="20" fillId="0" borderId="0" xfId="0" applyNumberFormat="1" applyFont="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xf numFmtId="10" fontId="20" fillId="0" borderId="0" xfId="1" applyNumberFormat="1" applyFont="1" applyFill="1"/>
    <xf numFmtId="10" fontId="20" fillId="0" borderId="0" xfId="1" applyNumberFormat="1" applyFont="1" applyFill="1" applyAlignment="1">
      <alignment horizontal="right"/>
    </xf>
    <xf numFmtId="14" fontId="20" fillId="0" borderId="0" xfId="0" applyNumberFormat="1" applyFont="1" applyAlignment="1">
      <alignment horizontal="right"/>
    </xf>
    <xf numFmtId="0" fontId="19" fillId="0" borderId="0" xfId="0" applyFont="1" applyAlignment="1">
      <alignment horizontal="right"/>
    </xf>
    <xf numFmtId="166" fontId="20" fillId="0" borderId="0" xfId="0" applyNumberFormat="1" applyFont="1"/>
    <xf numFmtId="0" fontId="19" fillId="2" borderId="0" xfId="0" applyFont="1" applyFill="1"/>
    <xf numFmtId="192" fontId="20" fillId="0" borderId="0" xfId="0" applyNumberFormat="1" applyFont="1"/>
    <xf numFmtId="0" fontId="23" fillId="0" borderId="0" xfId="0" applyFont="1" applyAlignment="1">
      <alignment horizontal="center" vertical="center"/>
    </xf>
    <xf numFmtId="3" fontId="19" fillId="0" borderId="0" xfId="0" applyNumberFormat="1" applyFont="1"/>
    <xf numFmtId="1" fontId="15" fillId="0" borderId="0" xfId="0" applyNumberFormat="1" applyFont="1"/>
    <xf numFmtId="4" fontId="20" fillId="0" borderId="0" xfId="0" applyNumberFormat="1" applyFont="1"/>
    <xf numFmtId="191" fontId="20" fillId="0" borderId="0" xfId="0" applyNumberFormat="1" applyFont="1"/>
    <xf numFmtId="0" fontId="21" fillId="4" borderId="0" xfId="0" applyFont="1" applyFill="1" applyAlignment="1">
      <alignment vertical="center"/>
    </xf>
    <xf numFmtId="191" fontId="19" fillId="0" borderId="0" xfId="0" applyNumberFormat="1" applyFont="1"/>
    <xf numFmtId="0" fontId="40" fillId="0" borderId="0" xfId="0" applyFont="1"/>
    <xf numFmtId="0" fontId="41" fillId="0" borderId="0" xfId="0" applyFont="1" applyAlignment="1">
      <alignment horizontal="right" vertical="center"/>
    </xf>
    <xf numFmtId="3" fontId="0" fillId="0" borderId="0" xfId="1" applyNumberFormat="1" applyFont="1" applyAlignment="1">
      <alignment horizontal="right"/>
    </xf>
    <xf numFmtId="3" fontId="0" fillId="0" borderId="0" xfId="1" applyNumberFormat="1" applyFont="1" applyBorder="1" applyAlignment="1">
      <alignment horizontal="right"/>
    </xf>
    <xf numFmtId="167" fontId="42" fillId="0" borderId="0" xfId="0" applyNumberFormat="1" applyFont="1" applyAlignment="1">
      <alignment horizontal="right"/>
    </xf>
    <xf numFmtId="167" fontId="41" fillId="0" borderId="0" xfId="0" applyNumberFormat="1" applyFont="1" applyAlignment="1">
      <alignment horizontal="left"/>
    </xf>
    <xf numFmtId="3" fontId="40" fillId="0" borderId="0" xfId="1" applyNumberFormat="1" applyFont="1" applyAlignment="1">
      <alignment horizontal="right"/>
    </xf>
    <xf numFmtId="167" fontId="42" fillId="0" borderId="0" xfId="0" applyNumberFormat="1" applyFont="1" applyAlignment="1">
      <alignment horizontal="left"/>
    </xf>
    <xf numFmtId="9" fontId="0" fillId="0" borderId="0" xfId="1" applyFont="1" applyAlignment="1">
      <alignment horizontal="right"/>
    </xf>
    <xf numFmtId="194" fontId="42" fillId="0" borderId="0" xfId="0" applyNumberFormat="1" applyFont="1" applyAlignment="1">
      <alignment horizontal="right"/>
    </xf>
    <xf numFmtId="194" fontId="41" fillId="0" borderId="0" xfId="0" applyNumberFormat="1" applyFont="1" applyAlignment="1">
      <alignment horizontal="right"/>
    </xf>
    <xf numFmtId="3" fontId="0" fillId="0" borderId="0" xfId="0" applyNumberFormat="1"/>
    <xf numFmtId="191" fontId="21" fillId="4" borderId="0" xfId="0" applyNumberFormat="1" applyFont="1" applyFill="1" applyAlignment="1">
      <alignment vertical="center"/>
    </xf>
    <xf numFmtId="9" fontId="20" fillId="0" borderId="0" xfId="1" applyFont="1"/>
    <xf numFmtId="0" fontId="20" fillId="6" borderId="0" xfId="0" applyFont="1" applyFill="1"/>
    <xf numFmtId="166" fontId="20" fillId="6" borderId="0" xfId="1" applyNumberFormat="1" applyFont="1" applyFill="1"/>
    <xf numFmtId="3" fontId="19" fillId="0" borderId="0" xfId="0" applyNumberFormat="1" applyFont="1" applyAlignment="1">
      <alignment horizontal="right"/>
    </xf>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Font="1" applyFill="1"/>
    <xf numFmtId="0" fontId="18" fillId="0" borderId="0" xfId="0" applyFont="1"/>
    <xf numFmtId="14" fontId="17" fillId="0" borderId="0" xfId="0" quotePrefix="1" applyNumberFormat="1" applyFont="1" applyAlignment="1">
      <alignment horizontal="right"/>
    </xf>
    <xf numFmtId="9" fontId="15" fillId="0" borderId="0" xfId="1" applyFont="1" applyAlignment="1">
      <alignment horizontal="right"/>
    </xf>
    <xf numFmtId="0" fontId="17" fillId="0" borderId="9" xfId="0" applyFont="1" applyBorder="1"/>
    <xf numFmtId="191" fontId="17" fillId="0" borderId="9" xfId="0" applyNumberFormat="1" applyFont="1" applyBorder="1" applyAlignment="1">
      <alignment horizontal="right"/>
    </xf>
    <xf numFmtId="9" fontId="17" fillId="0" borderId="9" xfId="1" applyFont="1" applyFill="1" applyBorder="1" applyAlignment="1">
      <alignment horizontal="right"/>
    </xf>
    <xf numFmtId="0" fontId="17" fillId="3" borderId="9" xfId="0" applyFont="1" applyFill="1" applyBorder="1"/>
    <xf numFmtId="191" fontId="17" fillId="0" borderId="0" xfId="0" applyNumberFormat="1" applyFont="1" applyAlignment="1">
      <alignment horizontal="right"/>
    </xf>
    <xf numFmtId="9" fontId="17" fillId="0" borderId="0" xfId="1" applyFont="1" applyFill="1" applyBorder="1" applyAlignment="1">
      <alignment horizontal="right"/>
    </xf>
    <xf numFmtId="2" fontId="20" fillId="0" borderId="0" xfId="0" applyNumberFormat="1" applyFont="1"/>
    <xf numFmtId="14" fontId="19" fillId="0" borderId="0" xfId="0" applyNumberFormat="1" applyFont="1" applyAlignment="1">
      <alignment horizontal="right"/>
    </xf>
    <xf numFmtId="14" fontId="19" fillId="0" borderId="0" xfId="0" applyNumberFormat="1" applyFont="1"/>
    <xf numFmtId="9" fontId="20" fillId="0" borderId="0" xfId="1" applyFont="1" applyFill="1" applyAlignment="1">
      <alignment horizontal="right"/>
    </xf>
    <xf numFmtId="166" fontId="20" fillId="0" borderId="0" xfId="1" applyNumberFormat="1" applyFont="1" applyFill="1" applyAlignment="1">
      <alignment horizontal="right"/>
    </xf>
    <xf numFmtId="3" fontId="20" fillId="0" borderId="0" xfId="0" applyNumberFormat="1" applyFont="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Alignment="1">
      <alignment horizontal="right"/>
    </xf>
    <xf numFmtId="1" fontId="20" fillId="0" borderId="0" xfId="0" applyNumberFormat="1" applyFont="1" applyAlignment="1">
      <alignment horizontal="right"/>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24" xfId="0" applyFont="1" applyBorder="1" applyAlignment="1">
      <alignment horizontal="right"/>
    </xf>
    <xf numFmtId="9" fontId="40" fillId="0" borderId="0" xfId="1" applyFont="1" applyAlignment="1">
      <alignment horizontal="right"/>
    </xf>
    <xf numFmtId="0" fontId="28" fillId="0" borderId="0" xfId="0" applyFont="1" applyAlignment="1">
      <alignment vertical="center"/>
    </xf>
    <xf numFmtId="3" fontId="19" fillId="0" borderId="29" xfId="0" applyNumberFormat="1" applyFont="1" applyBorder="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Alignment="1">
      <alignment horizontal="right"/>
    </xf>
    <xf numFmtId="0" fontId="16" fillId="32" borderId="0" xfId="0" applyFont="1" applyFill="1" applyAlignment="1">
      <alignment horizontal="left" vertical="center"/>
    </xf>
    <xf numFmtId="191" fontId="16" fillId="32" borderId="0" xfId="0" applyNumberFormat="1" applyFont="1" applyFill="1" applyAlignment="1">
      <alignment horizontal="right" vertical="center"/>
    </xf>
    <xf numFmtId="3" fontId="26" fillId="0" borderId="0" xfId="0" applyNumberFormat="1" applyFont="1"/>
    <xf numFmtId="192" fontId="24" fillId="0" borderId="0" xfId="0" applyNumberFormat="1" applyFont="1"/>
    <xf numFmtId="193" fontId="26" fillId="0" borderId="0" xfId="0" applyNumberFormat="1" applyFont="1"/>
    <xf numFmtId="0" fontId="15" fillId="0" borderId="0" xfId="0" applyFont="1" applyAlignment="1">
      <alignment horizontal="center"/>
    </xf>
    <xf numFmtId="192" fontId="19" fillId="0" borderId="0" xfId="0" applyNumberFormat="1" applyFont="1"/>
    <xf numFmtId="10" fontId="24" fillId="0" borderId="0" xfId="1" applyNumberFormat="1" applyFont="1" applyFill="1" applyBorder="1"/>
    <xf numFmtId="193" fontId="24" fillId="0" borderId="0" xfId="0" applyNumberFormat="1" applyFont="1"/>
    <xf numFmtId="14" fontId="28" fillId="0" borderId="0" xfId="0" quotePrefix="1" applyNumberFormat="1" applyFont="1" applyAlignment="1">
      <alignment horizontal="right"/>
    </xf>
    <xf numFmtId="3" fontId="27" fillId="0" borderId="0" xfId="0" applyNumberFormat="1" applyFont="1" applyAlignment="1">
      <alignment vertical="center"/>
    </xf>
    <xf numFmtId="3" fontId="25" fillId="0" borderId="0" xfId="0" applyNumberFormat="1" applyFont="1"/>
    <xf numFmtId="192" fontId="26" fillId="0" borderId="0" xfId="0" applyNumberFormat="1" applyFont="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Alignment="1">
      <alignment horizontal="right"/>
    </xf>
    <xf numFmtId="194" fontId="1" fillId="0" borderId="0" xfId="1" applyNumberFormat="1" applyFont="1" applyAlignment="1">
      <alignment horizontal="right"/>
    </xf>
    <xf numFmtId="9" fontId="19" fillId="0" borderId="0" xfId="0" applyNumberFormat="1" applyFont="1"/>
    <xf numFmtId="14" fontId="19" fillId="0" borderId="0" xfId="0" quotePrefix="1" applyNumberFormat="1" applyFont="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Font="1" applyFill="1"/>
    <xf numFmtId="0" fontId="34" fillId="0" borderId="0" xfId="0" applyFont="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Alignment="1">
      <alignment horizontal="right" vertical="center"/>
    </xf>
    <xf numFmtId="9" fontId="16" fillId="33" borderId="0" xfId="1" applyFont="1" applyFill="1" applyBorder="1" applyAlignment="1">
      <alignment horizontal="right" vertical="center"/>
    </xf>
    <xf numFmtId="0" fontId="20" fillId="34" borderId="0" xfId="0" applyFont="1" applyFill="1"/>
    <xf numFmtId="9" fontId="20" fillId="3" borderId="0" xfId="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xf numFmtId="0" fontId="16" fillId="3" borderId="0" xfId="12443" applyFont="1" applyFill="1" applyAlignment="1">
      <alignment horizontal="right"/>
    </xf>
    <xf numFmtId="0" fontId="20" fillId="3" borderId="0" xfId="0" applyFont="1" applyFill="1" applyAlignment="1">
      <alignment vertical="top" wrapText="1"/>
    </xf>
    <xf numFmtId="0" fontId="74" fillId="3" borderId="0" xfId="12443" applyFont="1" applyFill="1"/>
    <xf numFmtId="0" fontId="74" fillId="3" borderId="0" xfId="12443" applyFont="1" applyFill="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xf numFmtId="166" fontId="29" fillId="3" borderId="0" xfId="30277" applyNumberFormat="1" applyFont="1" applyFill="1">
      <alignment horizontal="right"/>
    </xf>
    <xf numFmtId="3" fontId="24" fillId="3" borderId="0" xfId="0" applyNumberFormat="1" applyFont="1" applyFill="1"/>
    <xf numFmtId="0" fontId="70" fillId="3" borderId="0" xfId="0" applyFont="1" applyFill="1"/>
    <xf numFmtId="166" fontId="70" fillId="3" borderId="0" xfId="0" applyNumberFormat="1" applyFont="1" applyFill="1"/>
    <xf numFmtId="0" fontId="76" fillId="3" borderId="0" xfId="0" applyFont="1" applyFill="1"/>
    <xf numFmtId="191" fontId="29" fillId="3" borderId="2" xfId="30277" applyFont="1" applyFill="1" applyBorder="1">
      <alignment horizontal="right"/>
    </xf>
    <xf numFmtId="191" fontId="70" fillId="3" borderId="0" xfId="0" applyNumberFormat="1" applyFont="1" applyFill="1"/>
    <xf numFmtId="191" fontId="77" fillId="3" borderId="0" xfId="0" applyNumberFormat="1" applyFont="1" applyFill="1"/>
    <xf numFmtId="0" fontId="77" fillId="3" borderId="0" xfId="0" applyFont="1" applyFill="1"/>
    <xf numFmtId="191" fontId="29" fillId="3" borderId="1" xfId="30277" applyFont="1" applyFill="1" applyBorder="1">
      <alignment horizontal="right"/>
    </xf>
    <xf numFmtId="0" fontId="78" fillId="3" borderId="0" xfId="0" applyFont="1" applyFill="1"/>
    <xf numFmtId="3" fontId="26" fillId="3" borderId="0" xfId="0" applyNumberFormat="1" applyFont="1" applyFill="1"/>
    <xf numFmtId="210" fontId="29" fillId="3" borderId="0" xfId="30277" applyNumberFormat="1" applyFont="1" applyFill="1">
      <alignment horizontal="right"/>
    </xf>
    <xf numFmtId="0" fontId="73" fillId="33" borderId="0" xfId="12443" applyFont="1" applyFill="1"/>
    <xf numFmtId="0" fontId="26" fillId="3" borderId="0" xfId="0" applyFont="1" applyFill="1"/>
    <xf numFmtId="4" fontId="70" fillId="3" borderId="0" xfId="0" applyNumberFormat="1" applyFont="1" applyFill="1"/>
    <xf numFmtId="166" fontId="27" fillId="3" borderId="0" xfId="30277" applyNumberFormat="1" applyFont="1" applyFill="1">
      <alignment horizontal="right"/>
    </xf>
    <xf numFmtId="191" fontId="27" fillId="3" borderId="0" xfId="30277" applyFont="1" applyFill="1">
      <alignment horizontal="right"/>
    </xf>
    <xf numFmtId="3" fontId="27" fillId="3" borderId="0" xfId="30277" applyNumberFormat="1" applyFont="1" applyFill="1">
      <alignment horizontal="right"/>
    </xf>
    <xf numFmtId="166" fontId="24" fillId="3" borderId="0" xfId="0" applyNumberFormat="1" applyFont="1" applyFill="1"/>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66" fontId="25"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191" fontId="25" fillId="3" borderId="1" xfId="30277" applyFont="1" applyFill="1" applyBorder="1">
      <alignment horizontal="right"/>
    </xf>
    <xf numFmtId="191" fontId="24" fillId="3" borderId="0" xfId="0" applyNumberFormat="1" applyFont="1" applyFill="1"/>
    <xf numFmtId="10" fontId="26" fillId="3" borderId="0" xfId="0" applyNumberFormat="1" applyFont="1" applyFill="1"/>
    <xf numFmtId="191" fontId="27" fillId="3" borderId="3" xfId="30277" applyFont="1" applyFill="1" applyBorder="1">
      <alignment horizontal="right"/>
    </xf>
    <xf numFmtId="212" fontId="27" fillId="3" borderId="0" xfId="30277" applyNumberFormat="1" applyFont="1" applyFill="1">
      <alignment horizontal="right"/>
    </xf>
    <xf numFmtId="4" fontId="1" fillId="3" borderId="0" xfId="0" applyNumberFormat="1" applyFont="1" applyFill="1"/>
    <xf numFmtId="3" fontId="0" fillId="3" borderId="0" xfId="0" applyNumberFormat="1" applyFill="1"/>
    <xf numFmtId="3" fontId="1" fillId="3" borderId="0" xfId="0" applyNumberFormat="1" applyFont="1" applyFill="1"/>
    <xf numFmtId="0" fontId="76" fillId="3" borderId="0" xfId="0" applyFont="1" applyFill="1" applyAlignment="1">
      <alignment vertical="top" wrapText="1"/>
    </xf>
    <xf numFmtId="0" fontId="72" fillId="60" borderId="0" xfId="12443" applyFont="1" applyFill="1"/>
    <xf numFmtId="0" fontId="74" fillId="60" borderId="0" xfId="12443" applyFont="1" applyFill="1"/>
    <xf numFmtId="0" fontId="74" fillId="60" borderId="0" xfId="12443" applyFont="1" applyFill="1" applyAlignment="1">
      <alignment horizontal="right"/>
    </xf>
    <xf numFmtId="0" fontId="79" fillId="60" borderId="0" xfId="12443" applyFont="1" applyFill="1"/>
    <xf numFmtId="14" fontId="74" fillId="60" borderId="0" xfId="12443" applyNumberFormat="1" applyFont="1" applyFill="1" applyAlignment="1">
      <alignment horizontal="right"/>
    </xf>
    <xf numFmtId="0" fontId="71" fillId="60" borderId="0" xfId="12443" applyFont="1" applyFill="1"/>
    <xf numFmtId="0" fontId="16" fillId="60" borderId="0" xfId="12443" applyFont="1" applyFill="1"/>
    <xf numFmtId="0" fontId="16" fillId="60" borderId="0" xfId="12443" applyFont="1" applyFill="1" applyAlignment="1">
      <alignment horizontal="right"/>
    </xf>
    <xf numFmtId="0" fontId="46" fillId="3" borderId="0" xfId="0" applyFont="1" applyFill="1"/>
    <xf numFmtId="0" fontId="80" fillId="3" borderId="0" xfId="0" applyFont="1" applyFill="1"/>
    <xf numFmtId="0" fontId="72" fillId="60" borderId="0" xfId="12443" applyFont="1" applyFill="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Alignment="1">
      <alignment horizontal="center"/>
    </xf>
    <xf numFmtId="0" fontId="15" fillId="0" borderId="0" xfId="0" applyFont="1" applyAlignment="1">
      <alignment horizontal="center"/>
    </xf>
    <xf numFmtId="14" fontId="16" fillId="33" borderId="0" xfId="0" applyNumberFormat="1" applyFont="1" applyFill="1" applyAlignment="1">
      <alignment horizontal="center" vertical="center"/>
    </xf>
    <xf numFmtId="0" fontId="16" fillId="33" borderId="0" xfId="0" applyFont="1" applyFill="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Border="1" applyAlignment="1">
      <alignment horizontal="center"/>
    </xf>
    <xf numFmtId="0" fontId="19" fillId="0" borderId="0" xfId="0" applyFont="1" applyAlignment="1">
      <alignment horizontal="center"/>
    </xf>
    <xf numFmtId="0" fontId="73" fillId="5" borderId="0" xfId="12443" applyFont="1" applyFill="1"/>
    <xf numFmtId="0" fontId="73" fillId="2" borderId="0" xfId="12443" applyFont="1" applyFill="1"/>
    <xf numFmtId="0" fontId="81" fillId="3" borderId="0" xfId="0" applyFont="1" applyFill="1"/>
    <xf numFmtId="0" fontId="22" fillId="3" borderId="0" xfId="0" applyFont="1" applyFill="1"/>
    <xf numFmtId="191" fontId="27" fillId="3" borderId="0" xfId="30277" applyFont="1" applyFill="1" applyBorder="1">
      <alignment horizontal="right"/>
    </xf>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D9D9D9"/>
      <color rgb="FFFF5FAC"/>
      <color rgb="FF005FAB"/>
      <color rgb="FF005FAC"/>
      <color rgb="FF0B45E6"/>
      <color rgb="FFFA7800"/>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200932</xdr:colOff>
      <xdr:row>58</xdr:row>
      <xdr:rowOff>163571</xdr:rowOff>
    </xdr:to>
    <xdr:pic>
      <xdr:nvPicPr>
        <xdr:cNvPr id="2" name="Picture 1">
          <a:extLst>
            <a:ext uri="{FF2B5EF4-FFF2-40B4-BE49-F238E27FC236}">
              <a16:creationId xmlns:a16="http://schemas.microsoft.com/office/drawing/2014/main" id="{A077F4E7-4FA9-AE57-1597-81C4726EB015}"/>
            </a:ext>
          </a:extLst>
        </xdr:cNvPr>
        <xdr:cNvPicPr>
          <a:picLocks noChangeAspect="1"/>
        </xdr:cNvPicPr>
      </xdr:nvPicPr>
      <xdr:blipFill>
        <a:blip xmlns:r="http://schemas.openxmlformats.org/officeDocument/2006/relationships" r:embed="rId1"/>
        <a:stretch>
          <a:fillRect/>
        </a:stretch>
      </xdr:blipFill>
      <xdr:spPr>
        <a:xfrm>
          <a:off x="0" y="0"/>
          <a:ext cx="7878536" cy="11379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A1:A69"/>
  <sheetViews>
    <sheetView tabSelected="1" zoomScaleNormal="100" zoomScaleSheetLayoutView="70" zoomScalePageLayoutView="40" workbookViewId="0"/>
  </sheetViews>
  <sheetFormatPr defaultColWidth="9.1796875" defaultRowHeight="14.5"/>
  <cols>
    <col min="1" max="16384" width="9.1796875" style="196"/>
  </cols>
  <sheetData>
    <row r="1" ht="14.5" customHeight="1"/>
    <row r="2" ht="14.5" customHeight="1"/>
    <row r="53" ht="89.25" customHeight="1"/>
    <row r="69" ht="9" customHeight="1"/>
  </sheetData>
  <pageMargins left="0" right="0" top="0" bottom="0" header="0" footer="0"/>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4"/>
  <sheetViews>
    <sheetView zoomScaleNormal="100" workbookViewId="0"/>
  </sheetViews>
  <sheetFormatPr defaultColWidth="9.1796875" defaultRowHeight="14"/>
  <cols>
    <col min="1" max="1" width="42.26953125" style="209" customWidth="1"/>
    <col min="2" max="10" width="10" style="209" customWidth="1"/>
    <col min="11" max="13" width="9.26953125" style="209" customWidth="1"/>
    <col min="14" max="16384" width="9.1796875" style="209"/>
  </cols>
  <sheetData>
    <row r="1" spans="1:14" ht="27.75" customHeight="1">
      <c r="A1" s="258" t="s">
        <v>319</v>
      </c>
      <c r="B1" s="261"/>
      <c r="C1" s="261"/>
      <c r="D1" s="261"/>
      <c r="E1" s="261"/>
      <c r="F1" s="261"/>
      <c r="G1" s="261"/>
      <c r="H1" s="261"/>
      <c r="I1" s="261"/>
      <c r="J1" s="261"/>
    </row>
    <row r="2" spans="1:14">
      <c r="A2" s="259" t="s">
        <v>306</v>
      </c>
      <c r="B2" s="262">
        <v>45291</v>
      </c>
      <c r="C2" s="262">
        <v>45199</v>
      </c>
      <c r="D2" s="262">
        <v>45107</v>
      </c>
      <c r="E2" s="262">
        <v>45016</v>
      </c>
      <c r="F2" s="262">
        <v>44926</v>
      </c>
      <c r="G2" s="262">
        <v>44834</v>
      </c>
      <c r="H2" s="262">
        <v>44742</v>
      </c>
      <c r="I2" s="262">
        <v>44651</v>
      </c>
      <c r="J2" s="262">
        <v>44561</v>
      </c>
    </row>
    <row r="3" spans="1:14">
      <c r="A3" s="202"/>
      <c r="B3" s="203"/>
      <c r="C3" s="203"/>
      <c r="D3" s="203"/>
      <c r="E3" s="203"/>
      <c r="F3" s="203"/>
      <c r="G3" s="203"/>
      <c r="H3" s="203"/>
      <c r="I3" s="203"/>
      <c r="J3" s="203"/>
    </row>
    <row r="4" spans="1:14">
      <c r="A4" s="204" t="s">
        <v>99</v>
      </c>
      <c r="B4" s="205"/>
      <c r="C4" s="205"/>
      <c r="D4" s="205"/>
      <c r="E4" s="205"/>
      <c r="F4" s="205"/>
      <c r="G4" s="205"/>
      <c r="H4" s="205"/>
      <c r="I4" s="205"/>
      <c r="J4" s="205"/>
    </row>
    <row r="5" spans="1:14">
      <c r="A5" s="206" t="s">
        <v>316</v>
      </c>
      <c r="B5" s="224">
        <v>102095</v>
      </c>
      <c r="C5" s="224">
        <v>80288</v>
      </c>
      <c r="D5" s="224">
        <v>76499</v>
      </c>
      <c r="E5" s="224">
        <v>80272</v>
      </c>
      <c r="F5" s="224">
        <v>114118</v>
      </c>
      <c r="G5" s="224">
        <v>68149</v>
      </c>
      <c r="H5" s="224">
        <v>78011</v>
      </c>
      <c r="I5" s="224">
        <v>64395</v>
      </c>
      <c r="J5" s="224">
        <v>69057</v>
      </c>
    </row>
    <row r="6" spans="1:14">
      <c r="A6" s="206" t="s">
        <v>23</v>
      </c>
      <c r="B6" s="224">
        <v>28835</v>
      </c>
      <c r="C6" s="224">
        <v>51302</v>
      </c>
      <c r="D6" s="224">
        <v>43428</v>
      </c>
      <c r="E6" s="224">
        <v>62899</v>
      </c>
      <c r="F6" s="224">
        <v>45501</v>
      </c>
      <c r="G6" s="224">
        <v>52643</v>
      </c>
      <c r="H6" s="224">
        <v>40195</v>
      </c>
      <c r="I6" s="224">
        <v>35868</v>
      </c>
      <c r="J6" s="224">
        <v>30272</v>
      </c>
    </row>
    <row r="7" spans="1:14">
      <c r="A7" s="206" t="s">
        <v>24</v>
      </c>
      <c r="B7" s="224">
        <v>1152789</v>
      </c>
      <c r="C7" s="224">
        <v>1143473</v>
      </c>
      <c r="D7" s="224">
        <v>1134621</v>
      </c>
      <c r="E7" s="224">
        <v>1114128</v>
      </c>
      <c r="F7" s="224">
        <v>1084757</v>
      </c>
      <c r="G7" s="224">
        <v>1045152</v>
      </c>
      <c r="H7" s="224">
        <v>1010666</v>
      </c>
      <c r="I7" s="224">
        <v>976383</v>
      </c>
      <c r="J7" s="224">
        <v>936237</v>
      </c>
      <c r="K7" s="213"/>
      <c r="L7" s="210"/>
      <c r="N7" s="213"/>
    </row>
    <row r="8" spans="1:14">
      <c r="A8" s="206" t="s">
        <v>274</v>
      </c>
      <c r="B8" s="224">
        <v>205706</v>
      </c>
      <c r="C8" s="224">
        <v>221012</v>
      </c>
      <c r="D8" s="224">
        <v>225827</v>
      </c>
      <c r="E8" s="224">
        <v>204996</v>
      </c>
      <c r="F8" s="224">
        <v>193329</v>
      </c>
      <c r="G8" s="224">
        <v>223142</v>
      </c>
      <c r="H8" s="224">
        <v>203740</v>
      </c>
      <c r="I8" s="224">
        <v>185680</v>
      </c>
      <c r="J8" s="224">
        <v>225657</v>
      </c>
      <c r="N8" s="210"/>
    </row>
    <row r="9" spans="1:14">
      <c r="A9" s="206" t="s">
        <v>107</v>
      </c>
      <c r="B9" s="224">
        <v>9493</v>
      </c>
      <c r="C9" s="224">
        <v>9461</v>
      </c>
      <c r="D9" s="224">
        <v>9444</v>
      </c>
      <c r="E9" s="224">
        <v>7875</v>
      </c>
      <c r="F9" s="224">
        <v>7862</v>
      </c>
      <c r="G9" s="224">
        <v>6617</v>
      </c>
      <c r="H9" s="224">
        <v>6615</v>
      </c>
      <c r="I9" s="224">
        <v>6586</v>
      </c>
      <c r="J9" s="224">
        <v>6560</v>
      </c>
      <c r="L9" s="248"/>
    </row>
    <row r="10" spans="1:14">
      <c r="A10" s="206" t="s">
        <v>19</v>
      </c>
      <c r="B10" s="224">
        <v>789</v>
      </c>
      <c r="C10" s="224">
        <v>844</v>
      </c>
      <c r="D10" s="224">
        <v>842</v>
      </c>
      <c r="E10" s="224">
        <v>770</v>
      </c>
      <c r="F10" s="224">
        <v>787</v>
      </c>
      <c r="G10" s="224">
        <v>785</v>
      </c>
      <c r="H10" s="224">
        <v>724</v>
      </c>
      <c r="I10" s="224">
        <v>700</v>
      </c>
      <c r="J10" s="224">
        <v>668</v>
      </c>
      <c r="N10" s="242"/>
    </row>
    <row r="11" spans="1:14">
      <c r="A11" s="206" t="s">
        <v>17</v>
      </c>
      <c r="B11" s="224">
        <v>8051</v>
      </c>
      <c r="C11" s="224">
        <v>8289</v>
      </c>
      <c r="D11" s="224">
        <v>8486</v>
      </c>
      <c r="E11" s="224">
        <v>8575</v>
      </c>
      <c r="F11" s="224">
        <v>8783</v>
      </c>
      <c r="G11" s="224">
        <v>8816</v>
      </c>
      <c r="H11" s="224">
        <v>9038</v>
      </c>
      <c r="I11" s="224">
        <v>9239</v>
      </c>
      <c r="J11" s="224">
        <v>9463</v>
      </c>
    </row>
    <row r="12" spans="1:14">
      <c r="A12" s="206" t="s">
        <v>106</v>
      </c>
      <c r="B12" s="224">
        <v>39</v>
      </c>
      <c r="C12" s="224">
        <v>427</v>
      </c>
      <c r="D12" s="224">
        <v>383</v>
      </c>
      <c r="E12" s="224">
        <v>332</v>
      </c>
      <c r="F12" s="224">
        <v>135</v>
      </c>
      <c r="G12" s="224">
        <v>2886</v>
      </c>
      <c r="H12" s="224">
        <v>1247</v>
      </c>
      <c r="I12" s="224">
        <v>754</v>
      </c>
      <c r="J12" s="224">
        <v>2</v>
      </c>
    </row>
    <row r="13" spans="1:14">
      <c r="A13" s="206" t="s">
        <v>388</v>
      </c>
      <c r="B13" s="224">
        <v>62</v>
      </c>
      <c r="C13" s="224">
        <v>61</v>
      </c>
      <c r="D13" s="224">
        <v>61</v>
      </c>
      <c r="E13" s="224">
        <v>61</v>
      </c>
      <c r="F13" s="224">
        <v>61</v>
      </c>
      <c r="G13" s="224">
        <v>2152</v>
      </c>
      <c r="H13" s="224">
        <v>2126</v>
      </c>
      <c r="I13" s="224">
        <v>14706</v>
      </c>
      <c r="J13" s="224">
        <v>16047</v>
      </c>
    </row>
    <row r="14" spans="1:14" s="215" customFormat="1">
      <c r="A14" s="206" t="s">
        <v>18</v>
      </c>
      <c r="B14" s="227">
        <v>17813</v>
      </c>
      <c r="C14" s="227">
        <v>25512</v>
      </c>
      <c r="D14" s="227">
        <v>18635</v>
      </c>
      <c r="E14" s="227">
        <v>20736</v>
      </c>
      <c r="F14" s="227">
        <v>10276</v>
      </c>
      <c r="G14" s="227">
        <v>13700</v>
      </c>
      <c r="H14" s="227">
        <v>26870</v>
      </c>
      <c r="I14" s="227">
        <v>46704</v>
      </c>
      <c r="J14" s="227">
        <v>16747</v>
      </c>
      <c r="K14" s="209"/>
      <c r="L14" s="209"/>
      <c r="M14" s="209"/>
    </row>
    <row r="15" spans="1:14">
      <c r="A15" s="204" t="s">
        <v>15</v>
      </c>
      <c r="B15" s="228">
        <v>1525672</v>
      </c>
      <c r="C15" s="228">
        <v>1540669</v>
      </c>
      <c r="D15" s="228">
        <v>1518226</v>
      </c>
      <c r="E15" s="228">
        <v>1500644</v>
      </c>
      <c r="F15" s="228">
        <v>1465609</v>
      </c>
      <c r="G15" s="228">
        <v>1424042</v>
      </c>
      <c r="H15" s="228">
        <v>1379232</v>
      </c>
      <c r="I15" s="228">
        <v>1341015</v>
      </c>
      <c r="J15" s="228">
        <v>1310710</v>
      </c>
    </row>
    <row r="16" spans="1:14" ht="1.5" customHeight="1">
      <c r="B16" s="228"/>
      <c r="C16" s="228"/>
      <c r="D16" s="228"/>
      <c r="E16" s="228"/>
      <c r="F16" s="228"/>
      <c r="G16" s="228"/>
      <c r="H16" s="228"/>
      <c r="I16" s="228"/>
      <c r="J16" s="228"/>
    </row>
    <row r="17" spans="1:10">
      <c r="A17" s="218"/>
      <c r="B17" s="224"/>
      <c r="C17" s="224"/>
      <c r="D17" s="224"/>
      <c r="E17" s="224"/>
      <c r="F17" s="224"/>
      <c r="G17" s="224"/>
      <c r="H17" s="224"/>
      <c r="I17" s="224"/>
      <c r="J17" s="224"/>
    </row>
    <row r="18" spans="1:10">
      <c r="A18" s="204" t="s">
        <v>354</v>
      </c>
      <c r="B18" s="224"/>
      <c r="C18" s="224"/>
      <c r="D18" s="224"/>
      <c r="E18" s="224"/>
      <c r="F18" s="224"/>
      <c r="G18" s="224"/>
      <c r="H18" s="224"/>
      <c r="I18" s="224"/>
      <c r="J18" s="224"/>
    </row>
    <row r="19" spans="1:10">
      <c r="A19" s="206" t="s">
        <v>317</v>
      </c>
      <c r="B19" s="224">
        <v>2771</v>
      </c>
      <c r="C19" s="224">
        <v>13144</v>
      </c>
      <c r="D19" s="224">
        <v>21702</v>
      </c>
      <c r="E19" s="224">
        <v>24188</v>
      </c>
      <c r="F19" s="224">
        <v>11697</v>
      </c>
      <c r="G19" s="224">
        <v>5099</v>
      </c>
      <c r="H19" s="224">
        <v>4604</v>
      </c>
      <c r="I19" s="224">
        <v>4270</v>
      </c>
      <c r="J19" s="224">
        <v>5000</v>
      </c>
    </row>
    <row r="20" spans="1:10">
      <c r="A20" s="206" t="s">
        <v>14</v>
      </c>
      <c r="B20" s="224">
        <v>792710</v>
      </c>
      <c r="C20" s="224">
        <v>806331</v>
      </c>
      <c r="D20" s="224">
        <v>781202</v>
      </c>
      <c r="E20" s="224">
        <v>775023</v>
      </c>
      <c r="F20" s="224">
        <v>755361</v>
      </c>
      <c r="G20" s="224">
        <v>739969</v>
      </c>
      <c r="H20" s="224">
        <v>726948</v>
      </c>
      <c r="I20" s="224">
        <v>679925</v>
      </c>
      <c r="J20" s="224">
        <v>655476</v>
      </c>
    </row>
    <row r="21" spans="1:10">
      <c r="A21" s="206" t="s">
        <v>303</v>
      </c>
      <c r="B21" s="224">
        <v>11646</v>
      </c>
      <c r="C21" s="224">
        <v>16908</v>
      </c>
      <c r="D21" s="224">
        <v>18242</v>
      </c>
      <c r="E21" s="224">
        <v>20692</v>
      </c>
      <c r="F21" s="224">
        <v>20997</v>
      </c>
      <c r="G21" s="224">
        <v>21800</v>
      </c>
      <c r="H21" s="224">
        <v>14353</v>
      </c>
      <c r="I21" s="224">
        <v>12323</v>
      </c>
      <c r="J21" s="224">
        <v>5877</v>
      </c>
    </row>
    <row r="22" spans="1:10">
      <c r="A22" s="206" t="s">
        <v>108</v>
      </c>
      <c r="B22" s="224">
        <v>11169</v>
      </c>
      <c r="C22" s="224">
        <v>13499</v>
      </c>
      <c r="D22" s="224">
        <v>12335</v>
      </c>
      <c r="E22" s="224">
        <v>10840</v>
      </c>
      <c r="F22" s="224">
        <v>10303</v>
      </c>
      <c r="G22" s="224">
        <v>15596</v>
      </c>
      <c r="H22" s="224">
        <v>11733</v>
      </c>
      <c r="I22" s="224">
        <v>8080</v>
      </c>
      <c r="J22" s="224">
        <v>7102</v>
      </c>
    </row>
    <row r="23" spans="1:10" s="196" customFormat="1" ht="14.5">
      <c r="A23" s="206" t="s">
        <v>387</v>
      </c>
      <c r="B23" s="224">
        <v>0</v>
      </c>
      <c r="C23" s="224">
        <v>0</v>
      </c>
      <c r="D23" s="224">
        <v>0</v>
      </c>
      <c r="E23" s="224">
        <v>0</v>
      </c>
      <c r="F23" s="224">
        <v>0</v>
      </c>
      <c r="G23" s="224">
        <v>0</v>
      </c>
      <c r="H23" s="224">
        <v>0</v>
      </c>
      <c r="I23" s="224">
        <v>15122</v>
      </c>
      <c r="J23" s="224">
        <v>16935</v>
      </c>
    </row>
    <row r="24" spans="1:10">
      <c r="A24" s="206" t="s">
        <v>20</v>
      </c>
      <c r="B24" s="224">
        <v>46336</v>
      </c>
      <c r="C24" s="224">
        <v>43479</v>
      </c>
      <c r="D24" s="224">
        <v>46379</v>
      </c>
      <c r="E24" s="224">
        <v>52554</v>
      </c>
      <c r="F24" s="224">
        <v>39401</v>
      </c>
      <c r="G24" s="224">
        <v>44796</v>
      </c>
      <c r="H24" s="224">
        <v>42550</v>
      </c>
      <c r="I24" s="224">
        <v>44582</v>
      </c>
      <c r="J24" s="224">
        <v>34914</v>
      </c>
    </row>
    <row r="25" spans="1:10">
      <c r="A25" s="206" t="s">
        <v>11</v>
      </c>
      <c r="B25" s="224">
        <v>420460</v>
      </c>
      <c r="C25" s="224">
        <v>407895.4</v>
      </c>
      <c r="D25" s="224">
        <v>405572.4</v>
      </c>
      <c r="E25" s="224">
        <v>390734</v>
      </c>
      <c r="F25" s="224">
        <v>392563</v>
      </c>
      <c r="G25" s="224">
        <v>376540</v>
      </c>
      <c r="H25" s="224">
        <v>363374.6</v>
      </c>
      <c r="I25" s="224">
        <v>370026</v>
      </c>
      <c r="J25" s="224">
        <v>356637</v>
      </c>
    </row>
    <row r="26" spans="1:10">
      <c r="A26" s="206" t="s">
        <v>344</v>
      </c>
      <c r="B26" s="227">
        <v>41279</v>
      </c>
      <c r="C26" s="227">
        <v>46853.4</v>
      </c>
      <c r="D26" s="227">
        <v>46478.400000000001</v>
      </c>
      <c r="E26" s="227">
        <v>46681</v>
      </c>
      <c r="F26" s="227">
        <v>47331</v>
      </c>
      <c r="G26" s="227">
        <v>34089</v>
      </c>
      <c r="H26" s="227">
        <v>33391.599999999999</v>
      </c>
      <c r="I26" s="227">
        <v>33674</v>
      </c>
      <c r="J26" s="227">
        <v>35088</v>
      </c>
    </row>
    <row r="27" spans="1:10">
      <c r="A27" s="204" t="s">
        <v>355</v>
      </c>
      <c r="B27" s="228">
        <v>1326371</v>
      </c>
      <c r="C27" s="228">
        <v>1348109.7999999998</v>
      </c>
      <c r="D27" s="228">
        <v>1331910.7999999998</v>
      </c>
      <c r="E27" s="228">
        <v>1320712</v>
      </c>
      <c r="F27" s="228">
        <v>1277653</v>
      </c>
      <c r="G27" s="228">
        <v>1237889</v>
      </c>
      <c r="H27" s="228">
        <v>1196954.2000000002</v>
      </c>
      <c r="I27" s="228">
        <v>1168002</v>
      </c>
      <c r="J27" s="228">
        <v>1117029</v>
      </c>
    </row>
    <row r="28" spans="1:10">
      <c r="A28" s="217"/>
      <c r="B28" s="224"/>
      <c r="C28" s="224"/>
      <c r="D28" s="224"/>
      <c r="E28" s="224"/>
      <c r="F28" s="224"/>
      <c r="G28" s="224"/>
      <c r="H28" s="224"/>
      <c r="I28" s="224"/>
      <c r="J28" s="224"/>
    </row>
    <row r="29" spans="1:10">
      <c r="A29" s="204" t="s">
        <v>21</v>
      </c>
      <c r="B29" s="224"/>
      <c r="C29" s="224"/>
      <c r="D29" s="224"/>
      <c r="E29" s="224"/>
      <c r="F29" s="224"/>
      <c r="G29" s="224"/>
      <c r="H29" s="224"/>
      <c r="I29" s="224"/>
      <c r="J29" s="224"/>
    </row>
    <row r="30" spans="1:10">
      <c r="A30" s="206" t="s">
        <v>340</v>
      </c>
      <c r="B30" s="224">
        <v>10634</v>
      </c>
      <c r="C30" s="224">
        <v>10603</v>
      </c>
      <c r="D30" s="224">
        <v>10603</v>
      </c>
      <c r="E30" s="224">
        <v>11406</v>
      </c>
      <c r="F30" s="224">
        <v>13371</v>
      </c>
      <c r="G30" s="224">
        <v>16765</v>
      </c>
      <c r="H30" s="224">
        <v>18955</v>
      </c>
      <c r="I30" s="224">
        <v>18955</v>
      </c>
      <c r="J30" s="224">
        <v>22684</v>
      </c>
    </row>
    <row r="31" spans="1:10">
      <c r="A31" s="206" t="s">
        <v>341</v>
      </c>
      <c r="B31" s="224">
        <v>12283</v>
      </c>
      <c r="C31" s="224">
        <v>11785</v>
      </c>
      <c r="D31" s="224">
        <v>11558</v>
      </c>
      <c r="E31" s="224">
        <v>10826</v>
      </c>
      <c r="F31" s="224">
        <v>10672</v>
      </c>
      <c r="G31" s="224">
        <v>9675</v>
      </c>
      <c r="H31" s="224">
        <v>9523</v>
      </c>
      <c r="I31" s="224">
        <v>11631</v>
      </c>
      <c r="J31" s="224">
        <v>12838</v>
      </c>
    </row>
    <row r="32" spans="1:10">
      <c r="A32" s="206" t="s">
        <v>342</v>
      </c>
      <c r="B32" s="227">
        <v>175881</v>
      </c>
      <c r="C32" s="227">
        <v>169510</v>
      </c>
      <c r="D32" s="227">
        <v>163489</v>
      </c>
      <c r="E32" s="227">
        <v>157044</v>
      </c>
      <c r="F32" s="227">
        <v>163264</v>
      </c>
      <c r="G32" s="227">
        <v>159033</v>
      </c>
      <c r="H32" s="227">
        <v>153114</v>
      </c>
      <c r="I32" s="227">
        <v>141747</v>
      </c>
      <c r="J32" s="227">
        <v>157486</v>
      </c>
    </row>
    <row r="33" spans="1:10">
      <c r="A33" s="204" t="s">
        <v>356</v>
      </c>
      <c r="B33" s="224">
        <v>198798</v>
      </c>
      <c r="C33" s="224">
        <v>191898</v>
      </c>
      <c r="D33" s="224">
        <v>185650</v>
      </c>
      <c r="E33" s="224">
        <v>179276</v>
      </c>
      <c r="F33" s="224">
        <v>187307</v>
      </c>
      <c r="G33" s="224">
        <v>185473</v>
      </c>
      <c r="H33" s="224">
        <v>181592</v>
      </c>
      <c r="I33" s="224">
        <v>172333</v>
      </c>
      <c r="J33" s="224">
        <v>193008</v>
      </c>
    </row>
    <row r="34" spans="1:10">
      <c r="A34" s="206" t="s">
        <v>312</v>
      </c>
      <c r="B34" s="227">
        <v>503</v>
      </c>
      <c r="C34" s="227">
        <v>661</v>
      </c>
      <c r="D34" s="227">
        <v>665</v>
      </c>
      <c r="E34" s="227">
        <v>656</v>
      </c>
      <c r="F34" s="227">
        <v>649</v>
      </c>
      <c r="G34" s="227">
        <v>680</v>
      </c>
      <c r="H34" s="227">
        <v>686</v>
      </c>
      <c r="I34" s="227">
        <v>680</v>
      </c>
      <c r="J34" s="227">
        <v>673</v>
      </c>
    </row>
    <row r="35" spans="1:10">
      <c r="A35" s="204" t="s">
        <v>51</v>
      </c>
      <c r="B35" s="228">
        <v>199301</v>
      </c>
      <c r="C35" s="228">
        <v>192559</v>
      </c>
      <c r="D35" s="228">
        <v>186315</v>
      </c>
      <c r="E35" s="228">
        <v>179932</v>
      </c>
      <c r="F35" s="228">
        <v>187956</v>
      </c>
      <c r="G35" s="228">
        <v>186153</v>
      </c>
      <c r="H35" s="228">
        <v>182278</v>
      </c>
      <c r="I35" s="228">
        <v>173013</v>
      </c>
      <c r="J35" s="228">
        <v>193681</v>
      </c>
    </row>
    <row r="36" spans="1:10">
      <c r="A36" s="204" t="s">
        <v>16</v>
      </c>
      <c r="B36" s="228">
        <v>1525672</v>
      </c>
      <c r="C36" s="228">
        <v>1540668.7999999998</v>
      </c>
      <c r="D36" s="228">
        <v>1518225.7999999998</v>
      </c>
      <c r="E36" s="228">
        <v>1500644</v>
      </c>
      <c r="F36" s="228">
        <v>1465609</v>
      </c>
      <c r="G36" s="228">
        <v>1424042</v>
      </c>
      <c r="H36" s="228">
        <v>1379232.2000000002</v>
      </c>
      <c r="I36" s="228">
        <v>1341015</v>
      </c>
      <c r="J36" s="228">
        <v>1310710</v>
      </c>
    </row>
    <row r="37" spans="1:10" ht="1.5" customHeight="1">
      <c r="B37" s="216"/>
      <c r="C37" s="216"/>
      <c r="D37" s="216"/>
      <c r="E37" s="216"/>
      <c r="F37" s="216"/>
      <c r="G37" s="216"/>
      <c r="H37" s="216"/>
      <c r="I37" s="216"/>
      <c r="J37" s="216"/>
    </row>
    <row r="38" spans="1:10">
      <c r="B38" s="205"/>
      <c r="C38" s="205"/>
      <c r="D38" s="205"/>
      <c r="E38" s="205"/>
      <c r="F38" s="205"/>
      <c r="G38" s="205"/>
      <c r="H38" s="205"/>
      <c r="I38" s="205"/>
      <c r="J38" s="205"/>
    </row>
    <row r="39" spans="1:10">
      <c r="B39" s="219"/>
      <c r="C39" s="219"/>
      <c r="D39" s="219"/>
      <c r="E39" s="219"/>
      <c r="F39" s="219"/>
      <c r="G39" s="219"/>
      <c r="H39" s="219"/>
      <c r="I39" s="219"/>
      <c r="J39" s="219"/>
    </row>
    <row r="40" spans="1:10">
      <c r="B40" s="205"/>
      <c r="C40" s="205"/>
      <c r="D40" s="205"/>
      <c r="E40" s="205"/>
      <c r="F40" s="205"/>
      <c r="G40" s="205"/>
      <c r="H40" s="205"/>
      <c r="I40" s="205"/>
      <c r="J40" s="205"/>
    </row>
    <row r="41" spans="1:10">
      <c r="B41" s="205"/>
      <c r="C41" s="205"/>
      <c r="D41" s="205"/>
      <c r="E41" s="205"/>
      <c r="F41" s="205"/>
      <c r="G41" s="205"/>
      <c r="H41" s="205"/>
      <c r="I41" s="205"/>
      <c r="J41" s="205"/>
    </row>
    <row r="42" spans="1:10">
      <c r="B42" s="205"/>
      <c r="C42" s="205"/>
      <c r="D42" s="205"/>
      <c r="E42" s="205"/>
      <c r="F42" s="205"/>
      <c r="G42" s="205"/>
      <c r="H42" s="205"/>
      <c r="I42" s="205"/>
      <c r="J42" s="205"/>
    </row>
    <row r="43" spans="1:10">
      <c r="B43" s="205"/>
      <c r="C43" s="205"/>
      <c r="D43" s="205"/>
      <c r="E43" s="205"/>
      <c r="F43" s="205"/>
      <c r="G43" s="205"/>
      <c r="H43" s="205"/>
      <c r="I43" s="205"/>
      <c r="J43" s="205"/>
    </row>
    <row r="44" spans="1:10">
      <c r="B44" s="205"/>
      <c r="C44" s="205"/>
      <c r="D44" s="205"/>
      <c r="E44" s="205"/>
      <c r="F44" s="205"/>
      <c r="G44" s="205"/>
      <c r="H44" s="205"/>
      <c r="I44" s="205"/>
      <c r="J44" s="205"/>
    </row>
  </sheetData>
  <pageMargins left="0.70866141732283472" right="0.70866141732283472" top="0.74803149606299213" bottom="0.74803149606299213" header="0.31496062992125984" footer="0.31496062992125984"/>
  <pageSetup paperSize="9" scale="93" firstPageNumber="13" orientation="landscape" useFirstPageNumber="1" r:id="rId1"/>
  <headerFooter>
    <oddFooter>&amp;L&amp;8______________________________________________________
&amp;"-,Italic"Arion Bank Factbook 31.12.2023&amp;C&amp;8&amp;P&amp;R&amp;"-,Italic"&amp;8______________________________________________________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K43"/>
  <sheetViews>
    <sheetView zoomScaleNormal="100" workbookViewId="0"/>
  </sheetViews>
  <sheetFormatPr defaultColWidth="9.1796875" defaultRowHeight="14"/>
  <cols>
    <col min="1" max="1" width="47.54296875" style="209" customWidth="1"/>
    <col min="2" max="10" width="9" style="209" customWidth="1"/>
    <col min="11" max="16384" width="9.1796875" style="209"/>
  </cols>
  <sheetData>
    <row r="1" spans="1:11" ht="27.75" customHeight="1">
      <c r="A1" s="258" t="s">
        <v>322</v>
      </c>
      <c r="B1" s="261"/>
      <c r="C1" s="261"/>
      <c r="D1" s="261"/>
      <c r="E1" s="261"/>
      <c r="F1" s="261"/>
      <c r="G1" s="261"/>
      <c r="H1" s="261"/>
      <c r="I1" s="261"/>
      <c r="J1" s="261"/>
    </row>
    <row r="2" spans="1:11">
      <c r="A2" s="259" t="s">
        <v>306</v>
      </c>
      <c r="B2" s="260" t="s">
        <v>413</v>
      </c>
      <c r="C2" s="260" t="s">
        <v>412</v>
      </c>
      <c r="D2" s="260" t="s">
        <v>411</v>
      </c>
      <c r="E2" s="260" t="s">
        <v>410</v>
      </c>
      <c r="F2" s="260" t="s">
        <v>409</v>
      </c>
      <c r="G2" s="260" t="s">
        <v>408</v>
      </c>
      <c r="H2" s="260" t="s">
        <v>407</v>
      </c>
      <c r="I2" s="260" t="s">
        <v>406</v>
      </c>
      <c r="J2" s="260" t="s">
        <v>401</v>
      </c>
    </row>
    <row r="3" spans="1:11">
      <c r="A3" s="202"/>
      <c r="B3" s="203"/>
      <c r="C3" s="203"/>
      <c r="D3" s="203"/>
      <c r="E3" s="203"/>
      <c r="F3" s="203"/>
      <c r="G3" s="203"/>
      <c r="H3" s="203"/>
      <c r="I3" s="203"/>
      <c r="J3" s="203"/>
    </row>
    <row r="4" spans="1:11">
      <c r="A4" s="204" t="s">
        <v>81</v>
      </c>
      <c r="B4" s="205"/>
      <c r="C4" s="205"/>
      <c r="D4" s="205"/>
      <c r="E4" s="205"/>
      <c r="F4" s="205"/>
      <c r="G4" s="205"/>
      <c r="H4" s="205"/>
      <c r="I4" s="205"/>
      <c r="J4" s="205"/>
    </row>
    <row r="5" spans="1:11">
      <c r="A5" s="206" t="s">
        <v>273</v>
      </c>
      <c r="B5" s="224">
        <v>1684</v>
      </c>
      <c r="C5" s="224">
        <v>1363</v>
      </c>
      <c r="D5" s="224">
        <v>1306</v>
      </c>
      <c r="E5" s="224">
        <v>1394</v>
      </c>
      <c r="F5" s="224">
        <v>1228</v>
      </c>
      <c r="G5" s="224">
        <v>993</v>
      </c>
      <c r="H5" s="224">
        <v>721</v>
      </c>
      <c r="I5" s="224">
        <v>392</v>
      </c>
      <c r="J5" s="224">
        <v>188</v>
      </c>
    </row>
    <row r="6" spans="1:11">
      <c r="A6" s="206" t="s">
        <v>323</v>
      </c>
      <c r="B6" s="224">
        <v>28742</v>
      </c>
      <c r="C6" s="224">
        <v>27042</v>
      </c>
      <c r="D6" s="224">
        <v>28294</v>
      </c>
      <c r="E6" s="224">
        <v>26657</v>
      </c>
      <c r="F6" s="224">
        <v>20107</v>
      </c>
      <c r="G6" s="224">
        <v>21488</v>
      </c>
      <c r="H6" s="224">
        <v>19442</v>
      </c>
      <c r="I6" s="224">
        <v>16022</v>
      </c>
      <c r="J6" s="224">
        <v>13930</v>
      </c>
    </row>
    <row r="7" spans="1:11">
      <c r="A7" s="206" t="s">
        <v>12</v>
      </c>
      <c r="B7" s="224">
        <v>1987</v>
      </c>
      <c r="C7" s="224">
        <v>2009</v>
      </c>
      <c r="D7" s="224">
        <v>1460</v>
      </c>
      <c r="E7" s="224">
        <v>1116</v>
      </c>
      <c r="F7" s="224">
        <v>569</v>
      </c>
      <c r="G7" s="224">
        <v>967</v>
      </c>
      <c r="H7" s="224">
        <v>446</v>
      </c>
      <c r="I7" s="224">
        <v>1006</v>
      </c>
      <c r="J7" s="224">
        <v>1058</v>
      </c>
    </row>
    <row r="8" spans="1:11">
      <c r="A8" s="206" t="s">
        <v>13</v>
      </c>
      <c r="B8" s="227">
        <v>48</v>
      </c>
      <c r="C8" s="227">
        <v>12</v>
      </c>
      <c r="D8" s="227">
        <v>0</v>
      </c>
      <c r="E8" s="227">
        <v>2</v>
      </c>
      <c r="F8" s="227">
        <v>129</v>
      </c>
      <c r="G8" s="227">
        <v>-2</v>
      </c>
      <c r="H8" s="227">
        <v>1</v>
      </c>
      <c r="I8" s="227">
        <v>6</v>
      </c>
      <c r="J8" s="227">
        <v>48</v>
      </c>
    </row>
    <row r="9" spans="1:11">
      <c r="A9" s="204" t="s">
        <v>81</v>
      </c>
      <c r="B9" s="228">
        <v>32461</v>
      </c>
      <c r="C9" s="228">
        <v>30426</v>
      </c>
      <c r="D9" s="228">
        <v>31060</v>
      </c>
      <c r="E9" s="228">
        <v>29169</v>
      </c>
      <c r="F9" s="228">
        <v>22033</v>
      </c>
      <c r="G9" s="228">
        <v>23446</v>
      </c>
      <c r="H9" s="228">
        <v>20610</v>
      </c>
      <c r="I9" s="228">
        <v>17426</v>
      </c>
      <c r="J9" s="228">
        <v>15224</v>
      </c>
      <c r="K9" s="213"/>
    </row>
    <row r="10" spans="1:11">
      <c r="A10" s="218"/>
      <c r="B10" s="224"/>
      <c r="C10" s="224"/>
      <c r="D10" s="224"/>
      <c r="E10" s="224"/>
      <c r="F10" s="224"/>
      <c r="G10" s="224"/>
      <c r="H10" s="224"/>
      <c r="I10" s="224"/>
      <c r="J10" s="224"/>
    </row>
    <row r="11" spans="1:11">
      <c r="A11" s="204" t="s">
        <v>82</v>
      </c>
      <c r="B11" s="224"/>
      <c r="C11" s="224"/>
      <c r="D11" s="224"/>
      <c r="E11" s="224"/>
      <c r="F11" s="224"/>
      <c r="G11" s="224"/>
      <c r="H11" s="224"/>
      <c r="I11" s="224"/>
      <c r="J11" s="224"/>
    </row>
    <row r="12" spans="1:11">
      <c r="A12" s="206" t="s">
        <v>14</v>
      </c>
      <c r="B12" s="224">
        <v>-12926</v>
      </c>
      <c r="C12" s="224">
        <v>-11950</v>
      </c>
      <c r="D12" s="224">
        <v>-11490</v>
      </c>
      <c r="E12" s="224">
        <v>-9902</v>
      </c>
      <c r="F12" s="224">
        <v>-6865</v>
      </c>
      <c r="G12" s="224">
        <v>-7158</v>
      </c>
      <c r="H12" s="224">
        <v>-5250</v>
      </c>
      <c r="I12" s="224">
        <v>-3478</v>
      </c>
      <c r="J12" s="224">
        <v>-2323</v>
      </c>
    </row>
    <row r="13" spans="1:11">
      <c r="A13" s="206" t="s">
        <v>11</v>
      </c>
      <c r="B13" s="224">
        <v>-7069</v>
      </c>
      <c r="C13" s="224">
        <v>-6466</v>
      </c>
      <c r="D13" s="224">
        <v>-6877</v>
      </c>
      <c r="E13" s="224">
        <v>-6953</v>
      </c>
      <c r="F13" s="224">
        <v>-3809</v>
      </c>
      <c r="G13" s="224">
        <v>-5269</v>
      </c>
      <c r="H13" s="224">
        <v>-5002</v>
      </c>
      <c r="I13" s="224">
        <v>-3947</v>
      </c>
      <c r="J13" s="224">
        <v>-3604</v>
      </c>
    </row>
    <row r="14" spans="1:11">
      <c r="A14" s="206" t="s">
        <v>25</v>
      </c>
      <c r="B14" s="224">
        <v>-1094</v>
      </c>
      <c r="C14" s="224">
        <v>-1066</v>
      </c>
      <c r="D14" s="224">
        <v>-1220</v>
      </c>
      <c r="E14" s="224">
        <v>-1271</v>
      </c>
      <c r="F14" s="224">
        <v>-667</v>
      </c>
      <c r="G14" s="224">
        <v>-624</v>
      </c>
      <c r="H14" s="224">
        <v>-565</v>
      </c>
      <c r="I14" s="224">
        <v>-482</v>
      </c>
      <c r="J14" s="224">
        <v>-498</v>
      </c>
    </row>
    <row r="15" spans="1:11">
      <c r="A15" s="206" t="s">
        <v>13</v>
      </c>
      <c r="B15" s="227">
        <v>-25</v>
      </c>
      <c r="C15" s="227">
        <v>-26</v>
      </c>
      <c r="D15" s="227">
        <v>-47</v>
      </c>
      <c r="E15" s="227">
        <v>-49</v>
      </c>
      <c r="F15" s="227">
        <v>-69</v>
      </c>
      <c r="G15" s="227">
        <v>-38</v>
      </c>
      <c r="H15" s="227">
        <v>-48</v>
      </c>
      <c r="I15" s="227">
        <v>-43</v>
      </c>
      <c r="J15" s="227">
        <v>-31</v>
      </c>
    </row>
    <row r="16" spans="1:11">
      <c r="A16" s="204" t="s">
        <v>82</v>
      </c>
      <c r="B16" s="228">
        <v>-21114</v>
      </c>
      <c r="C16" s="228">
        <v>-19508</v>
      </c>
      <c r="D16" s="228">
        <v>-19634</v>
      </c>
      <c r="E16" s="228">
        <v>-18175</v>
      </c>
      <c r="F16" s="228">
        <v>-11410</v>
      </c>
      <c r="G16" s="228">
        <v>-13089</v>
      </c>
      <c r="H16" s="228">
        <v>-10865</v>
      </c>
      <c r="I16" s="228">
        <v>-7950</v>
      </c>
      <c r="J16" s="228">
        <v>-6456</v>
      </c>
      <c r="K16" s="213"/>
    </row>
    <row r="17" spans="1:11">
      <c r="A17" s="206"/>
      <c r="B17" s="235"/>
      <c r="C17" s="235"/>
      <c r="D17" s="235"/>
      <c r="E17" s="235"/>
      <c r="F17" s="235"/>
      <c r="G17" s="236"/>
      <c r="H17" s="236"/>
      <c r="I17" s="236"/>
      <c r="J17" s="236"/>
    </row>
    <row r="18" spans="1:11">
      <c r="A18" s="204" t="s">
        <v>0</v>
      </c>
      <c r="B18" s="227">
        <v>11347</v>
      </c>
      <c r="C18" s="227">
        <v>10918</v>
      </c>
      <c r="D18" s="227">
        <v>11426</v>
      </c>
      <c r="E18" s="227">
        <v>10994</v>
      </c>
      <c r="F18" s="227">
        <v>10623</v>
      </c>
      <c r="G18" s="227">
        <v>10357</v>
      </c>
      <c r="H18" s="227">
        <v>9745</v>
      </c>
      <c r="I18" s="227">
        <v>9476</v>
      </c>
      <c r="J18" s="227">
        <v>8768</v>
      </c>
      <c r="K18" s="213"/>
    </row>
    <row r="19" spans="1:11" ht="1.5" customHeight="1">
      <c r="A19" s="204"/>
      <c r="B19" s="228"/>
      <c r="C19" s="228"/>
      <c r="D19" s="228"/>
      <c r="E19" s="228"/>
      <c r="F19" s="228"/>
      <c r="G19" s="228"/>
      <c r="H19" s="228"/>
      <c r="I19" s="228"/>
      <c r="J19" s="228"/>
    </row>
    <row r="20" spans="1:11">
      <c r="A20" s="218"/>
      <c r="B20" s="224"/>
      <c r="C20" s="224"/>
      <c r="D20" s="224"/>
      <c r="E20" s="224"/>
      <c r="F20" s="224"/>
      <c r="G20" s="206"/>
      <c r="H20" s="206"/>
      <c r="I20" s="206"/>
      <c r="J20" s="206"/>
    </row>
    <row r="21" spans="1:11">
      <c r="A21" s="204" t="s">
        <v>302</v>
      </c>
      <c r="B21" s="224"/>
      <c r="C21" s="224"/>
      <c r="D21" s="224"/>
      <c r="E21" s="224"/>
      <c r="F21" s="224"/>
      <c r="G21" s="206"/>
      <c r="H21" s="206"/>
      <c r="I21" s="206"/>
      <c r="J21" s="206"/>
    </row>
    <row r="22" spans="1:11">
      <c r="A22" s="206" t="s">
        <v>316</v>
      </c>
      <c r="B22" s="224">
        <v>102095</v>
      </c>
      <c r="C22" s="224">
        <v>80288</v>
      </c>
      <c r="D22" s="224">
        <v>76499</v>
      </c>
      <c r="E22" s="224">
        <v>80272</v>
      </c>
      <c r="F22" s="224">
        <v>114118</v>
      </c>
      <c r="G22" s="224">
        <v>68149</v>
      </c>
      <c r="H22" s="224">
        <v>78011</v>
      </c>
      <c r="I22" s="224">
        <v>64395</v>
      </c>
      <c r="J22" s="224">
        <v>69057</v>
      </c>
    </row>
    <row r="23" spans="1:11">
      <c r="A23" s="206" t="s">
        <v>323</v>
      </c>
      <c r="B23" s="224">
        <v>1181624</v>
      </c>
      <c r="C23" s="224">
        <v>1194775</v>
      </c>
      <c r="D23" s="224">
        <v>1178049</v>
      </c>
      <c r="E23" s="224">
        <v>1177027</v>
      </c>
      <c r="F23" s="224">
        <v>1130258</v>
      </c>
      <c r="G23" s="224">
        <v>1097795</v>
      </c>
      <c r="H23" s="224">
        <v>1050861</v>
      </c>
      <c r="I23" s="224">
        <v>1012251</v>
      </c>
      <c r="J23" s="224">
        <v>966509</v>
      </c>
    </row>
    <row r="24" spans="1:11">
      <c r="A24" s="206" t="s">
        <v>12</v>
      </c>
      <c r="B24" s="227">
        <v>159392.43953209999</v>
      </c>
      <c r="C24" s="227">
        <v>179737.22227497</v>
      </c>
      <c r="D24" s="227">
        <v>183351.45343364001</v>
      </c>
      <c r="E24" s="227">
        <v>152486.62117328</v>
      </c>
      <c r="F24" s="227">
        <v>142064.43640673</v>
      </c>
      <c r="G24" s="227">
        <v>164914.82648173001</v>
      </c>
      <c r="H24" s="227">
        <v>143174.34111563</v>
      </c>
      <c r="I24" s="227">
        <v>121721.84502972</v>
      </c>
      <c r="J24" s="227">
        <v>168800.86298530002</v>
      </c>
    </row>
    <row r="25" spans="1:11">
      <c r="A25" s="204" t="s">
        <v>302</v>
      </c>
      <c r="B25" s="228">
        <v>1443111.4395321</v>
      </c>
      <c r="C25" s="228">
        <v>1454800.22227497</v>
      </c>
      <c r="D25" s="228">
        <v>1437899.4534336401</v>
      </c>
      <c r="E25" s="228">
        <v>1409785.6211732801</v>
      </c>
      <c r="F25" s="228">
        <v>1386440.43640673</v>
      </c>
      <c r="G25" s="228">
        <v>1330858.82648173</v>
      </c>
      <c r="H25" s="228">
        <v>1272046.34111563</v>
      </c>
      <c r="I25" s="228">
        <v>1198367.8450297201</v>
      </c>
      <c r="J25" s="228">
        <v>1204366.8629852999</v>
      </c>
    </row>
    <row r="26" spans="1:11">
      <c r="A26" s="218"/>
      <c r="B26" s="224"/>
      <c r="C26" s="224"/>
      <c r="D26" s="224"/>
      <c r="E26" s="224"/>
      <c r="F26" s="224"/>
      <c r="G26" s="206"/>
      <c r="H26" s="206"/>
      <c r="I26" s="206"/>
      <c r="J26" s="206"/>
    </row>
    <row r="27" spans="1:11">
      <c r="A27" s="204" t="s">
        <v>89</v>
      </c>
      <c r="B27" s="224"/>
      <c r="C27" s="224"/>
      <c r="D27" s="224"/>
      <c r="E27" s="224"/>
      <c r="F27" s="224"/>
      <c r="G27" s="206"/>
      <c r="H27" s="206"/>
      <c r="I27" s="206"/>
      <c r="J27" s="206"/>
    </row>
    <row r="28" spans="1:11">
      <c r="A28" s="206" t="s">
        <v>317</v>
      </c>
      <c r="B28" s="224">
        <v>2771</v>
      </c>
      <c r="C28" s="224">
        <v>13144</v>
      </c>
      <c r="D28" s="224">
        <v>21702</v>
      </c>
      <c r="E28" s="224">
        <v>24188</v>
      </c>
      <c r="F28" s="224">
        <v>11697</v>
      </c>
      <c r="G28" s="224">
        <v>5099</v>
      </c>
      <c r="H28" s="224">
        <v>4604</v>
      </c>
      <c r="I28" s="224">
        <v>4270</v>
      </c>
      <c r="J28" s="224">
        <v>5000</v>
      </c>
    </row>
    <row r="29" spans="1:11">
      <c r="A29" s="206" t="s">
        <v>14</v>
      </c>
      <c r="B29" s="224">
        <v>792710</v>
      </c>
      <c r="C29" s="224">
        <v>806331</v>
      </c>
      <c r="D29" s="224">
        <v>781202</v>
      </c>
      <c r="E29" s="224">
        <v>775023</v>
      </c>
      <c r="F29" s="224">
        <v>755361</v>
      </c>
      <c r="G29" s="224">
        <v>739969</v>
      </c>
      <c r="H29" s="224">
        <v>726948</v>
      </c>
      <c r="I29" s="224">
        <v>679925</v>
      </c>
      <c r="J29" s="224">
        <v>655476</v>
      </c>
    </row>
    <row r="30" spans="1:11">
      <c r="A30" s="206" t="s">
        <v>303</v>
      </c>
      <c r="B30" s="224">
        <v>11646</v>
      </c>
      <c r="C30" s="224">
        <v>16908</v>
      </c>
      <c r="D30" s="224">
        <v>18242</v>
      </c>
      <c r="E30" s="224">
        <v>20692</v>
      </c>
      <c r="F30" s="224">
        <v>20997</v>
      </c>
      <c r="G30" s="224">
        <v>21800</v>
      </c>
      <c r="H30" s="224">
        <v>14353</v>
      </c>
      <c r="I30" s="224">
        <v>12323</v>
      </c>
      <c r="J30" s="224">
        <v>5877</v>
      </c>
    </row>
    <row r="31" spans="1:11">
      <c r="A31" s="206" t="s">
        <v>11</v>
      </c>
      <c r="B31" s="224">
        <v>420460</v>
      </c>
      <c r="C31" s="224">
        <v>407895</v>
      </c>
      <c r="D31" s="224">
        <v>405572</v>
      </c>
      <c r="E31" s="224">
        <v>390734</v>
      </c>
      <c r="F31" s="224">
        <v>392563</v>
      </c>
      <c r="G31" s="224">
        <v>376540</v>
      </c>
      <c r="H31" s="224">
        <v>363375</v>
      </c>
      <c r="I31" s="224">
        <v>370026</v>
      </c>
      <c r="J31" s="224">
        <v>356637</v>
      </c>
    </row>
    <row r="32" spans="1:11">
      <c r="A32" s="206" t="s">
        <v>344</v>
      </c>
      <c r="B32" s="227">
        <v>41279</v>
      </c>
      <c r="C32" s="227">
        <v>46853</v>
      </c>
      <c r="D32" s="227">
        <v>46478</v>
      </c>
      <c r="E32" s="227">
        <v>46681</v>
      </c>
      <c r="F32" s="227">
        <v>47331</v>
      </c>
      <c r="G32" s="227">
        <v>34089</v>
      </c>
      <c r="H32" s="227">
        <v>33392</v>
      </c>
      <c r="I32" s="227">
        <v>33674</v>
      </c>
      <c r="J32" s="227">
        <v>35088</v>
      </c>
    </row>
    <row r="33" spans="1:10">
      <c r="A33" s="204" t="s">
        <v>89</v>
      </c>
      <c r="B33" s="228">
        <v>1268866</v>
      </c>
      <c r="C33" s="228">
        <v>1291131</v>
      </c>
      <c r="D33" s="228">
        <v>1273196</v>
      </c>
      <c r="E33" s="228">
        <v>1257318</v>
      </c>
      <c r="F33" s="228">
        <v>1227949</v>
      </c>
      <c r="G33" s="228">
        <v>1177497</v>
      </c>
      <c r="H33" s="228">
        <v>1142672</v>
      </c>
      <c r="I33" s="228">
        <v>1100218</v>
      </c>
      <c r="J33" s="228">
        <v>1058078</v>
      </c>
    </row>
    <row r="34" spans="1:10">
      <c r="B34" s="237"/>
      <c r="C34" s="237"/>
      <c r="D34" s="237"/>
      <c r="E34" s="237"/>
      <c r="F34" s="237"/>
      <c r="G34" s="237"/>
      <c r="H34" s="237"/>
      <c r="I34" s="237"/>
      <c r="J34" s="237"/>
    </row>
    <row r="35" spans="1:10">
      <c r="A35" s="204" t="s">
        <v>52</v>
      </c>
      <c r="B35" s="224">
        <v>174245.43953209999</v>
      </c>
      <c r="C35" s="224">
        <v>163669.22227497003</v>
      </c>
      <c r="D35" s="224">
        <v>164703.45343364007</v>
      </c>
      <c r="E35" s="224">
        <v>152467.62117328006</v>
      </c>
      <c r="F35" s="224">
        <v>158491.43640672998</v>
      </c>
      <c r="G35" s="224">
        <v>153361.82648172998</v>
      </c>
      <c r="H35" s="224">
        <v>129374.34111563</v>
      </c>
      <c r="I35" s="224">
        <v>98149.845029720105</v>
      </c>
      <c r="J35" s="224">
        <v>146288.8629852999</v>
      </c>
    </row>
    <row r="36" spans="1:10" ht="1.5" customHeight="1">
      <c r="A36" s="204"/>
      <c r="B36" s="228"/>
      <c r="C36" s="228"/>
      <c r="D36" s="228"/>
      <c r="E36" s="228"/>
      <c r="F36" s="228"/>
      <c r="G36" s="228"/>
      <c r="H36" s="228"/>
      <c r="I36" s="228"/>
      <c r="J36" s="228"/>
    </row>
    <row r="37" spans="1:10">
      <c r="A37" s="218"/>
      <c r="B37" s="206"/>
      <c r="C37" s="206"/>
      <c r="D37" s="206"/>
      <c r="E37" s="206"/>
      <c r="F37" s="206"/>
      <c r="G37" s="206"/>
      <c r="H37" s="206"/>
      <c r="I37" s="206"/>
      <c r="J37" s="206"/>
    </row>
    <row r="38" spans="1:10">
      <c r="A38" s="204" t="s">
        <v>353</v>
      </c>
      <c r="B38" s="226">
        <v>3.0848856622548538E-2</v>
      </c>
      <c r="C38" s="226">
        <v>2.9728252764640466E-2</v>
      </c>
      <c r="D38" s="226">
        <v>3.1649947660048826E-2</v>
      </c>
      <c r="E38" s="226">
        <v>3.1128077018231018E-2</v>
      </c>
      <c r="F38" s="226">
        <v>3.0658415120456421E-2</v>
      </c>
      <c r="G38" s="226">
        <v>3.1506114085815745E-2</v>
      </c>
      <c r="H38" s="226">
        <v>3.0786393210255288E-2</v>
      </c>
      <c r="I38" s="226">
        <v>3.0948828498771508E-2</v>
      </c>
      <c r="J38" s="226">
        <v>2.8338292662148844E-2</v>
      </c>
    </row>
    <row r="39" spans="1:10">
      <c r="B39" s="206"/>
      <c r="C39" s="206"/>
      <c r="D39" s="206"/>
      <c r="E39" s="206"/>
      <c r="F39" s="206"/>
      <c r="G39" s="206"/>
      <c r="H39" s="206"/>
      <c r="I39" s="206"/>
      <c r="J39" s="206"/>
    </row>
    <row r="40" spans="1:10">
      <c r="B40" s="206"/>
      <c r="C40" s="206"/>
      <c r="D40" s="206"/>
      <c r="E40" s="206"/>
      <c r="F40" s="206"/>
      <c r="G40" s="206"/>
      <c r="H40" s="206"/>
      <c r="I40" s="206"/>
      <c r="J40" s="206"/>
    </row>
    <row r="41" spans="1:10">
      <c r="B41" s="206"/>
      <c r="C41" s="206"/>
      <c r="D41" s="206"/>
      <c r="E41" s="206"/>
      <c r="F41" s="206"/>
      <c r="G41" s="206"/>
      <c r="H41" s="206"/>
      <c r="I41" s="206"/>
      <c r="J41" s="206"/>
    </row>
    <row r="42" spans="1:10">
      <c r="B42" s="206"/>
      <c r="C42" s="206"/>
      <c r="D42" s="206"/>
      <c r="E42" s="206"/>
      <c r="F42" s="206"/>
      <c r="G42" s="206"/>
      <c r="H42" s="206"/>
      <c r="I42" s="206"/>
      <c r="J42" s="206"/>
    </row>
    <row r="43" spans="1:10">
      <c r="B43" s="206"/>
      <c r="C43" s="206"/>
      <c r="D43" s="206"/>
      <c r="E43" s="206"/>
      <c r="F43" s="206"/>
      <c r="G43" s="206"/>
      <c r="H43" s="206"/>
      <c r="I43" s="206"/>
      <c r="J43" s="206"/>
    </row>
  </sheetData>
  <pageMargins left="0.70866141732283472" right="0.70866141732283472" top="0.74803149606299213" bottom="0.74803149606299213" header="0.31496062992125984" footer="0.31496062992125984"/>
  <pageSetup paperSize="9" scale="91" firstPageNumber="14" orientation="landscape" useFirstPageNumber="1" r:id="rId1"/>
  <headerFooter>
    <oddFooter xml:space="preserve">&amp;L&amp;8______________________________________________________
&amp;"-,Italic"Arion Bank Factbook 31.12.2023&amp;C&amp;8&amp;P&amp;R&amp;8__________________________&amp;"-,Italic"____________________________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heetViews>
  <sheetFormatPr defaultColWidth="9.1796875" defaultRowHeight="14"/>
  <cols>
    <col min="1" max="1" width="45.26953125" style="209" customWidth="1"/>
    <col min="2" max="10" width="10" style="209" customWidth="1"/>
    <col min="11" max="11" width="40.26953125" style="209" customWidth="1"/>
    <col min="12" max="16384" width="9.1796875" style="209"/>
  </cols>
  <sheetData>
    <row r="1" spans="1:10" hidden="1">
      <c r="B1" s="220">
        <v>0</v>
      </c>
      <c r="C1" s="220">
        <v>1</v>
      </c>
      <c r="D1" s="220">
        <v>2</v>
      </c>
      <c r="E1" s="220">
        <v>3</v>
      </c>
      <c r="F1" s="220">
        <v>4</v>
      </c>
      <c r="G1" s="220">
        <v>5</v>
      </c>
      <c r="H1" s="220">
        <v>6</v>
      </c>
      <c r="I1" s="220">
        <v>7</v>
      </c>
      <c r="J1" s="220">
        <v>8</v>
      </c>
    </row>
    <row r="2" spans="1:10" ht="27.75" customHeight="1">
      <c r="A2" s="268" t="s">
        <v>359</v>
      </c>
      <c r="B2" s="268"/>
      <c r="C2" s="268"/>
      <c r="D2" s="268"/>
      <c r="E2" s="268"/>
      <c r="F2" s="268"/>
      <c r="G2" s="268"/>
      <c r="H2" s="268"/>
      <c r="I2" s="268"/>
      <c r="J2" s="268"/>
    </row>
    <row r="3" spans="1:10">
      <c r="A3" s="259" t="s">
        <v>306</v>
      </c>
      <c r="B3" s="262">
        <v>45291</v>
      </c>
      <c r="C3" s="262">
        <v>45199</v>
      </c>
      <c r="D3" s="262">
        <v>45107</v>
      </c>
      <c r="E3" s="262">
        <v>45016</v>
      </c>
      <c r="F3" s="262">
        <v>44926</v>
      </c>
      <c r="G3" s="262">
        <v>44834</v>
      </c>
      <c r="H3" s="262">
        <v>44742</v>
      </c>
      <c r="I3" s="262">
        <v>44651</v>
      </c>
      <c r="J3" s="262">
        <v>44561</v>
      </c>
    </row>
    <row r="4" spans="1:10">
      <c r="A4" s="202"/>
      <c r="B4" s="203"/>
      <c r="C4" s="203"/>
      <c r="D4" s="203"/>
      <c r="E4" s="203"/>
      <c r="F4" s="203"/>
      <c r="G4" s="203"/>
      <c r="H4" s="203"/>
      <c r="I4" s="203"/>
      <c r="J4" s="203"/>
    </row>
    <row r="5" spans="1:10">
      <c r="A5" s="204" t="s">
        <v>24</v>
      </c>
      <c r="B5" s="205"/>
      <c r="C5" s="205"/>
      <c r="D5" s="205"/>
      <c r="E5" s="205"/>
      <c r="F5" s="205"/>
    </row>
    <row r="6" spans="1:10">
      <c r="A6" s="206" t="s">
        <v>28</v>
      </c>
      <c r="B6" s="224">
        <v>609144</v>
      </c>
      <c r="C6" s="224">
        <v>601463</v>
      </c>
      <c r="D6" s="224">
        <v>592571</v>
      </c>
      <c r="E6" s="224">
        <v>588989</v>
      </c>
      <c r="F6" s="224">
        <v>582371</v>
      </c>
      <c r="G6" s="224">
        <v>571487</v>
      </c>
      <c r="H6" s="224">
        <v>549524</v>
      </c>
      <c r="I6" s="224">
        <v>534395</v>
      </c>
      <c r="J6" s="224">
        <v>526498</v>
      </c>
    </row>
    <row r="7" spans="1:10">
      <c r="A7" s="206" t="s">
        <v>327</v>
      </c>
      <c r="B7" s="227">
        <v>543645</v>
      </c>
      <c r="C7" s="227">
        <v>542010</v>
      </c>
      <c r="D7" s="227">
        <v>542050</v>
      </c>
      <c r="E7" s="227">
        <v>525139</v>
      </c>
      <c r="F7" s="227">
        <v>502386</v>
      </c>
      <c r="G7" s="227">
        <v>473665</v>
      </c>
      <c r="H7" s="227">
        <v>461142</v>
      </c>
      <c r="I7" s="227">
        <v>441988</v>
      </c>
      <c r="J7" s="227">
        <v>409739</v>
      </c>
    </row>
    <row r="8" spans="1:10">
      <c r="A8" s="204" t="s">
        <v>87</v>
      </c>
      <c r="B8" s="228">
        <v>1152789</v>
      </c>
      <c r="C8" s="228">
        <v>1143473</v>
      </c>
      <c r="D8" s="228">
        <v>1134621</v>
      </c>
      <c r="E8" s="228">
        <v>1114128</v>
      </c>
      <c r="F8" s="228">
        <v>1084757</v>
      </c>
      <c r="G8" s="228">
        <v>1045152</v>
      </c>
      <c r="H8" s="228">
        <v>1010666</v>
      </c>
      <c r="I8" s="228">
        <v>976383</v>
      </c>
      <c r="J8" s="228">
        <v>936237</v>
      </c>
    </row>
    <row r="9" spans="1:10">
      <c r="A9" s="218"/>
      <c r="B9" s="224"/>
      <c r="C9" s="224"/>
      <c r="D9" s="224"/>
      <c r="E9" s="224"/>
      <c r="F9" s="224"/>
      <c r="G9" s="206"/>
      <c r="H9" s="206"/>
      <c r="I9" s="206"/>
      <c r="J9" s="206"/>
    </row>
    <row r="10" spans="1:10">
      <c r="A10" s="206" t="s">
        <v>385</v>
      </c>
      <c r="B10" s="223">
        <v>1.7267122461983572E-2</v>
      </c>
      <c r="C10" s="223">
        <v>1.5531489587374828E-2</v>
      </c>
      <c r="D10" s="223">
        <v>1.5511639858208309E-2</v>
      </c>
      <c r="E10" s="223">
        <v>1.3819533569560102E-2</v>
      </c>
      <c r="F10" s="223">
        <v>1.1985273978563178E-2</v>
      </c>
      <c r="G10" s="223">
        <v>1.4091782214976352E-2</v>
      </c>
      <c r="H10" s="223">
        <v>1.4359498045992812E-2</v>
      </c>
      <c r="I10" s="223">
        <v>1.6332522311564426E-2</v>
      </c>
      <c r="J10" s="223">
        <v>1.896302009774993E-2</v>
      </c>
    </row>
    <row r="11" spans="1:10">
      <c r="A11" s="206"/>
      <c r="B11" s="223"/>
      <c r="C11" s="223"/>
      <c r="D11" s="223"/>
      <c r="E11" s="223"/>
      <c r="F11" s="223"/>
      <c r="G11" s="223"/>
      <c r="H11" s="223"/>
      <c r="I11" s="223"/>
      <c r="J11" s="223"/>
    </row>
    <row r="12" spans="1:10">
      <c r="A12" s="204" t="s">
        <v>328</v>
      </c>
      <c r="B12" s="221"/>
      <c r="C12" s="247"/>
      <c r="D12" s="247"/>
      <c r="E12" s="221"/>
      <c r="F12" s="221"/>
      <c r="G12" s="221"/>
      <c r="H12" s="221"/>
      <c r="I12" s="221"/>
      <c r="J12" s="221"/>
    </row>
    <row r="13" spans="1:10">
      <c r="A13" s="206" t="s">
        <v>30</v>
      </c>
      <c r="B13" s="224">
        <v>13840</v>
      </c>
      <c r="C13" s="224">
        <v>14059</v>
      </c>
      <c r="D13" s="224">
        <v>13988</v>
      </c>
      <c r="E13" s="224">
        <v>14582</v>
      </c>
      <c r="F13" s="224">
        <v>14893</v>
      </c>
      <c r="G13" s="224">
        <v>15008</v>
      </c>
      <c r="H13" s="224">
        <v>14803</v>
      </c>
      <c r="I13" s="224">
        <v>15262</v>
      </c>
      <c r="J13" s="224">
        <v>14255</v>
      </c>
    </row>
    <row r="14" spans="1:10">
      <c r="A14" s="206" t="s">
        <v>254</v>
      </c>
      <c r="B14" s="224">
        <v>15972</v>
      </c>
      <c r="C14" s="224">
        <v>14179</v>
      </c>
      <c r="D14" s="224">
        <v>15754</v>
      </c>
      <c r="E14" s="224">
        <v>14716</v>
      </c>
      <c r="F14" s="224">
        <v>14304</v>
      </c>
      <c r="G14" s="224">
        <v>14605</v>
      </c>
      <c r="H14" s="224">
        <v>14582</v>
      </c>
      <c r="I14" s="224">
        <v>13270</v>
      </c>
      <c r="J14" s="224">
        <v>13192</v>
      </c>
    </row>
    <row r="15" spans="1:10">
      <c r="A15" s="206" t="s">
        <v>245</v>
      </c>
      <c r="B15" s="224">
        <v>550269</v>
      </c>
      <c r="C15" s="224">
        <v>541219</v>
      </c>
      <c r="D15" s="224">
        <v>530958</v>
      </c>
      <c r="E15" s="224">
        <v>520421</v>
      </c>
      <c r="F15" s="224">
        <v>514007</v>
      </c>
      <c r="G15" s="224">
        <v>502537</v>
      </c>
      <c r="H15" s="224">
        <v>482196</v>
      </c>
      <c r="I15" s="224">
        <v>469877</v>
      </c>
      <c r="J15" s="224">
        <v>463895</v>
      </c>
    </row>
    <row r="16" spans="1:10">
      <c r="A16" s="206" t="s">
        <v>32</v>
      </c>
      <c r="B16" s="224">
        <v>31536</v>
      </c>
      <c r="C16" s="224">
        <v>34393</v>
      </c>
      <c r="D16" s="224">
        <v>34103</v>
      </c>
      <c r="E16" s="224">
        <v>41194</v>
      </c>
      <c r="F16" s="224">
        <v>40942</v>
      </c>
      <c r="G16" s="224">
        <v>41200</v>
      </c>
      <c r="H16" s="224">
        <v>39745</v>
      </c>
      <c r="I16" s="224">
        <v>37856</v>
      </c>
      <c r="J16" s="224">
        <v>37044</v>
      </c>
    </row>
    <row r="17" spans="1:15">
      <c r="A17" s="206" t="s">
        <v>329</v>
      </c>
      <c r="B17" s="227">
        <v>-2473</v>
      </c>
      <c r="C17" s="227">
        <v>-2387</v>
      </c>
      <c r="D17" s="227">
        <v>-2232</v>
      </c>
      <c r="E17" s="227">
        <v>-1924</v>
      </c>
      <c r="F17" s="227">
        <v>-1775</v>
      </c>
      <c r="G17" s="227">
        <v>-1863</v>
      </c>
      <c r="H17" s="227">
        <v>-1802</v>
      </c>
      <c r="I17" s="227">
        <v>-1870</v>
      </c>
      <c r="J17" s="227">
        <v>-1888</v>
      </c>
    </row>
    <row r="18" spans="1:15">
      <c r="A18" s="204" t="s">
        <v>330</v>
      </c>
      <c r="B18" s="228">
        <v>609144</v>
      </c>
      <c r="C18" s="228">
        <v>601463</v>
      </c>
      <c r="D18" s="228">
        <v>592571</v>
      </c>
      <c r="E18" s="228">
        <v>588989</v>
      </c>
      <c r="F18" s="228">
        <v>582371</v>
      </c>
      <c r="G18" s="228">
        <v>571487</v>
      </c>
      <c r="H18" s="228">
        <v>549524</v>
      </c>
      <c r="I18" s="228">
        <v>534395</v>
      </c>
      <c r="J18" s="228">
        <v>526498</v>
      </c>
      <c r="L18" s="213"/>
      <c r="M18" s="213"/>
      <c r="N18" s="213"/>
      <c r="O18" s="213"/>
    </row>
    <row r="19" spans="1:15">
      <c r="A19" s="204"/>
      <c r="B19" s="224"/>
      <c r="C19" s="224"/>
      <c r="D19" s="224"/>
      <c r="E19" s="224"/>
      <c r="F19" s="224"/>
      <c r="G19" s="224"/>
      <c r="H19" s="224"/>
      <c r="I19" s="224"/>
      <c r="J19" s="224"/>
      <c r="L19" s="213"/>
      <c r="M19" s="213"/>
      <c r="N19" s="213"/>
      <c r="O19" s="213"/>
    </row>
    <row r="20" spans="1:15">
      <c r="A20" s="204" t="s">
        <v>337</v>
      </c>
      <c r="B20" s="221"/>
      <c r="C20" s="221"/>
      <c r="D20" s="221"/>
      <c r="E20" s="221"/>
      <c r="F20" s="221"/>
      <c r="G20" s="221"/>
      <c r="H20" s="221"/>
      <c r="I20" s="221"/>
      <c r="J20" s="221"/>
    </row>
    <row r="21" spans="1:15">
      <c r="A21" s="206" t="s">
        <v>30</v>
      </c>
      <c r="B21" s="224">
        <v>43013</v>
      </c>
      <c r="C21" s="224">
        <v>39813</v>
      </c>
      <c r="D21" s="224">
        <v>40673</v>
      </c>
      <c r="E21" s="224">
        <v>36921</v>
      </c>
      <c r="F21" s="224">
        <v>33369</v>
      </c>
      <c r="G21" s="224">
        <v>28933</v>
      </c>
      <c r="H21" s="224">
        <v>26675</v>
      </c>
      <c r="I21" s="224">
        <v>20371</v>
      </c>
      <c r="J21" s="224">
        <v>18301</v>
      </c>
    </row>
    <row r="22" spans="1:15">
      <c r="A22" s="206" t="s">
        <v>254</v>
      </c>
      <c r="B22" s="224">
        <v>2062</v>
      </c>
      <c r="C22" s="224">
        <v>2054</v>
      </c>
      <c r="D22" s="224">
        <v>1927</v>
      </c>
      <c r="E22" s="224">
        <v>1976</v>
      </c>
      <c r="F22" s="224">
        <v>1838</v>
      </c>
      <c r="G22" s="224">
        <v>1835</v>
      </c>
      <c r="H22" s="224">
        <v>1750</v>
      </c>
      <c r="I22" s="224">
        <v>1526</v>
      </c>
      <c r="J22" s="224">
        <v>1449</v>
      </c>
    </row>
    <row r="23" spans="1:15">
      <c r="A23" s="206" t="s">
        <v>245</v>
      </c>
      <c r="B23" s="224">
        <v>68840</v>
      </c>
      <c r="C23" s="224">
        <v>65583</v>
      </c>
      <c r="D23" s="224">
        <v>66118</v>
      </c>
      <c r="E23" s="224">
        <v>57081</v>
      </c>
      <c r="F23" s="224">
        <v>60528</v>
      </c>
      <c r="G23" s="224">
        <v>60573</v>
      </c>
      <c r="H23" s="224">
        <v>54991</v>
      </c>
      <c r="I23" s="224">
        <v>46508</v>
      </c>
      <c r="J23" s="224">
        <v>41588</v>
      </c>
    </row>
    <row r="24" spans="1:15">
      <c r="A24" s="206" t="s">
        <v>32</v>
      </c>
      <c r="B24" s="224">
        <v>435808</v>
      </c>
      <c r="C24" s="224">
        <v>440811</v>
      </c>
      <c r="D24" s="224">
        <v>438718</v>
      </c>
      <c r="E24" s="224">
        <v>434348</v>
      </c>
      <c r="F24" s="224">
        <v>411792</v>
      </c>
      <c r="G24" s="224">
        <v>388476</v>
      </c>
      <c r="H24" s="224">
        <v>383678</v>
      </c>
      <c r="I24" s="224">
        <v>379685</v>
      </c>
      <c r="J24" s="224">
        <v>354113</v>
      </c>
    </row>
    <row r="25" spans="1:15">
      <c r="A25" s="206" t="s">
        <v>329</v>
      </c>
      <c r="B25" s="227">
        <v>-6078</v>
      </c>
      <c r="C25" s="227">
        <v>-6251</v>
      </c>
      <c r="D25" s="227">
        <v>-5386</v>
      </c>
      <c r="E25" s="227">
        <v>-5187</v>
      </c>
      <c r="F25" s="227">
        <v>-5141</v>
      </c>
      <c r="G25" s="227">
        <v>-6152</v>
      </c>
      <c r="H25" s="227">
        <v>-5952</v>
      </c>
      <c r="I25" s="227">
        <v>-6102</v>
      </c>
      <c r="J25" s="227">
        <v>-5712</v>
      </c>
    </row>
    <row r="26" spans="1:15">
      <c r="A26" s="204" t="s">
        <v>338</v>
      </c>
      <c r="B26" s="228">
        <v>543645</v>
      </c>
      <c r="C26" s="228">
        <v>542010</v>
      </c>
      <c r="D26" s="228">
        <v>542050</v>
      </c>
      <c r="E26" s="228">
        <v>525139</v>
      </c>
      <c r="F26" s="228">
        <v>502386</v>
      </c>
      <c r="G26" s="228">
        <v>473665</v>
      </c>
      <c r="H26" s="228">
        <v>461142</v>
      </c>
      <c r="I26" s="228">
        <v>441988</v>
      </c>
      <c r="J26" s="228">
        <v>409739</v>
      </c>
    </row>
    <row r="27" spans="1:15" ht="14.25" customHeight="1">
      <c r="B27" s="224"/>
      <c r="C27" s="206"/>
      <c r="D27" s="206"/>
      <c r="E27" s="206"/>
      <c r="F27" s="206"/>
      <c r="G27" s="206"/>
      <c r="H27" s="206"/>
      <c r="I27" s="206"/>
      <c r="J27" s="206"/>
    </row>
    <row r="28" spans="1:15">
      <c r="A28" s="204" t="s">
        <v>339</v>
      </c>
      <c r="B28" s="206"/>
      <c r="C28" s="206"/>
      <c r="D28" s="206"/>
      <c r="E28" s="206"/>
      <c r="F28" s="206"/>
      <c r="G28" s="206"/>
      <c r="H28" s="206"/>
      <c r="I28" s="206"/>
      <c r="J28" s="206"/>
    </row>
    <row r="29" spans="1:15">
      <c r="A29" s="206" t="s">
        <v>358</v>
      </c>
      <c r="B29" s="223">
        <v>2.1219729786901377E-2</v>
      </c>
      <c r="C29" s="223">
        <v>2.1970074352871717E-2</v>
      </c>
      <c r="D29" s="223">
        <v>2.8528733511668666E-2</v>
      </c>
      <c r="E29" s="223">
        <v>2.2335038913506709E-2</v>
      </c>
      <c r="F29" s="223">
        <v>2.288877476681277E-2</v>
      </c>
      <c r="G29" s="223">
        <v>2.5418808651684208E-2</v>
      </c>
      <c r="H29" s="223">
        <v>2.5434681724935054E-2</v>
      </c>
      <c r="I29" s="223">
        <v>2.5437342190285709E-2</v>
      </c>
      <c r="J29" s="223">
        <v>2.4928063962668917E-2</v>
      </c>
    </row>
    <row r="30" spans="1:15">
      <c r="A30" s="206" t="s">
        <v>173</v>
      </c>
      <c r="B30" s="223">
        <v>4.0818916756339155E-2</v>
      </c>
      <c r="C30" s="223">
        <v>3.891625615763547E-2</v>
      </c>
      <c r="D30" s="223">
        <v>3.684161977677336E-2</v>
      </c>
      <c r="E30" s="223">
        <v>3.6371322640291429E-2</v>
      </c>
      <c r="F30" s="223">
        <v>3.8128052931411305E-2</v>
      </c>
      <c r="G30" s="223">
        <v>4.138367833806593E-2</v>
      </c>
      <c r="H30" s="223">
        <v>4.3828148379457955E-2</v>
      </c>
      <c r="I30" s="223">
        <v>4.341520584269256E-2</v>
      </c>
      <c r="J30" s="223">
        <v>4.2146341939624979E-2</v>
      </c>
    </row>
    <row r="31" spans="1:15">
      <c r="A31" s="206" t="s">
        <v>331</v>
      </c>
      <c r="B31" s="223">
        <v>7.6367850343514607E-2</v>
      </c>
      <c r="C31" s="223">
        <v>7.6987509455545097E-2</v>
      </c>
      <c r="D31" s="223">
        <v>7.9874550318236329E-2</v>
      </c>
      <c r="E31" s="223">
        <v>8.1450815879224356E-2</v>
      </c>
      <c r="F31" s="223">
        <v>8.2362963936096947E-2</v>
      </c>
      <c r="G31" s="223">
        <v>9.4248044504027101E-2</v>
      </c>
      <c r="H31" s="223">
        <v>9.7863564802165057E-2</v>
      </c>
      <c r="I31" s="223">
        <v>0.10601192792564504</v>
      </c>
      <c r="J31" s="223">
        <v>0.11177359245763767</v>
      </c>
    </row>
    <row r="32" spans="1:15">
      <c r="A32" s="206" t="s">
        <v>332</v>
      </c>
      <c r="B32" s="223">
        <v>0.10079371648778154</v>
      </c>
      <c r="C32" s="223">
        <v>9.6512979465323515E-2</v>
      </c>
      <c r="D32" s="223">
        <v>9.5784521723088281E-2</v>
      </c>
      <c r="E32" s="223">
        <v>9.3801831515084574E-2</v>
      </c>
      <c r="F32" s="223">
        <v>8.788859562169328E-2</v>
      </c>
      <c r="G32" s="223">
        <v>8.6457728563436184E-2</v>
      </c>
      <c r="H32" s="223">
        <v>8.0821091984681515E-2</v>
      </c>
      <c r="I32" s="223">
        <v>7.9312108021032252E-2</v>
      </c>
      <c r="J32" s="223">
        <v>6.8138497921847813E-2</v>
      </c>
    </row>
    <row r="33" spans="1:10">
      <c r="A33" s="206" t="s">
        <v>333</v>
      </c>
      <c r="B33" s="223">
        <v>4.7847400417551894E-2</v>
      </c>
      <c r="C33" s="223">
        <v>4.9296138447630117E-2</v>
      </c>
      <c r="D33" s="223">
        <v>4.9517572179688218E-2</v>
      </c>
      <c r="E33" s="223">
        <v>5.2709853962474698E-2</v>
      </c>
      <c r="F33" s="223">
        <v>4.9010123689752501E-2</v>
      </c>
      <c r="G33" s="223">
        <v>4.8601859964320773E-2</v>
      </c>
      <c r="H33" s="223">
        <v>3.9473741277090357E-2</v>
      </c>
      <c r="I33" s="223">
        <v>5.3415477343276285E-2</v>
      </c>
      <c r="J33" s="223">
        <v>4.0845513851500592E-2</v>
      </c>
    </row>
    <row r="34" spans="1:10">
      <c r="A34" s="206" t="s">
        <v>334</v>
      </c>
      <c r="B34" s="223">
        <v>2.6142059616109777E-2</v>
      </c>
      <c r="C34" s="223">
        <v>2.398110735964281E-2</v>
      </c>
      <c r="D34" s="223">
        <v>2.2695323309657782E-2</v>
      </c>
      <c r="E34" s="223">
        <v>2.2001793810781527E-2</v>
      </c>
      <c r="F34" s="223">
        <v>2.1051542041378542E-2</v>
      </c>
      <c r="G34" s="223">
        <v>1.8033842483611836E-2</v>
      </c>
      <c r="H34" s="223">
        <v>1.5680636333276952E-2</v>
      </c>
      <c r="I34" s="223">
        <v>1.6303610052761614E-2</v>
      </c>
      <c r="J34" s="223">
        <v>1.6883918787325591E-2</v>
      </c>
    </row>
    <row r="35" spans="1:10">
      <c r="A35" s="206" t="s">
        <v>335</v>
      </c>
      <c r="B35" s="223">
        <v>0.3528571034406644</v>
      </c>
      <c r="C35" s="223">
        <v>0.34816331801996275</v>
      </c>
      <c r="D35" s="223">
        <v>0.33541924176736465</v>
      </c>
      <c r="E35" s="223">
        <v>0.31643812400145488</v>
      </c>
      <c r="F35" s="223">
        <v>0.31949934910606587</v>
      </c>
      <c r="G35" s="223">
        <v>0.32013342763345404</v>
      </c>
      <c r="H35" s="223">
        <v>0.33113227595838157</v>
      </c>
      <c r="I35" s="223">
        <v>0.3099812664597229</v>
      </c>
      <c r="J35" s="223">
        <v>0.31076124069224553</v>
      </c>
    </row>
    <row r="36" spans="1:10">
      <c r="A36" s="206" t="s">
        <v>171</v>
      </c>
      <c r="B36" s="223">
        <v>0.15225376854381076</v>
      </c>
      <c r="C36" s="223">
        <v>0.16619988561096657</v>
      </c>
      <c r="D36" s="223">
        <v>0.15046028964117703</v>
      </c>
      <c r="E36" s="223">
        <v>0.16950940608105663</v>
      </c>
      <c r="F36" s="223">
        <v>0.18198556488437179</v>
      </c>
      <c r="G36" s="223">
        <v>0.17869802497545734</v>
      </c>
      <c r="H36" s="223">
        <v>0.17962579856096386</v>
      </c>
      <c r="I36" s="223">
        <v>0.17557263998117595</v>
      </c>
      <c r="J36" s="223">
        <v>0.19059450040147508</v>
      </c>
    </row>
    <row r="37" spans="1:10">
      <c r="A37" s="206" t="s">
        <v>172</v>
      </c>
      <c r="B37" s="223">
        <v>1.5561625693237316E-2</v>
      </c>
      <c r="C37" s="223">
        <v>1.5197136584195864E-2</v>
      </c>
      <c r="D37" s="223">
        <v>2.642376164560465E-2</v>
      </c>
      <c r="E37" s="223">
        <v>2.6844321217810902E-2</v>
      </c>
      <c r="F37" s="223">
        <v>2.7982467664305934E-2</v>
      </c>
      <c r="G37" s="223">
        <v>3.1815734749242611E-2</v>
      </c>
      <c r="H37" s="223">
        <v>3.1990146202254405E-2</v>
      </c>
      <c r="I37" s="223">
        <v>3.0417115396798103E-2</v>
      </c>
      <c r="J37" s="223">
        <v>3.4563466011290116E-2</v>
      </c>
    </row>
    <row r="38" spans="1:10">
      <c r="A38" s="206" t="s">
        <v>336</v>
      </c>
      <c r="B38" s="223">
        <v>0.16613782891408915</v>
      </c>
      <c r="C38" s="223">
        <v>0.16277559454622609</v>
      </c>
      <c r="D38" s="223">
        <v>0.17445438612674108</v>
      </c>
      <c r="E38" s="223">
        <v>0.17853749197831431</v>
      </c>
      <c r="F38" s="223">
        <v>0.1692025653581111</v>
      </c>
      <c r="G38" s="223">
        <v>0.15520885013669999</v>
      </c>
      <c r="H38" s="223">
        <v>0.15414991477679327</v>
      </c>
      <c r="I38" s="223">
        <v>0.16013330678660959</v>
      </c>
      <c r="J38" s="223">
        <v>0.15936486397438368</v>
      </c>
    </row>
    <row r="39" spans="1:10">
      <c r="B39" s="231">
        <v>0.99999999999999989</v>
      </c>
      <c r="C39" s="231">
        <v>1</v>
      </c>
      <c r="D39" s="231">
        <v>1.0000000000000002</v>
      </c>
      <c r="E39" s="231">
        <v>1</v>
      </c>
      <c r="F39" s="231">
        <v>1</v>
      </c>
      <c r="G39" s="231">
        <v>1</v>
      </c>
      <c r="H39" s="231">
        <v>1</v>
      </c>
      <c r="I39" s="231">
        <v>1</v>
      </c>
      <c r="J39" s="231">
        <v>1</v>
      </c>
    </row>
    <row r="40" spans="1:10">
      <c r="A40" s="211" t="s">
        <v>386</v>
      </c>
      <c r="B40" s="224"/>
      <c r="C40" s="223"/>
      <c r="D40" s="223"/>
      <c r="E40" s="223"/>
      <c r="F40" s="223"/>
      <c r="G40" s="223"/>
      <c r="H40" s="223"/>
      <c r="I40" s="223"/>
      <c r="J40" s="223"/>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31.12.2023&amp;C&amp;8&amp;P&amp;R&amp;"-,Italic"&amp;8______________________________________________________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J65"/>
  <sheetViews>
    <sheetView zoomScaleNormal="100" zoomScaleSheetLayoutView="85" workbookViewId="0"/>
  </sheetViews>
  <sheetFormatPr defaultColWidth="9.1796875" defaultRowHeight="14"/>
  <cols>
    <col min="1" max="1" width="52" style="209" customWidth="1"/>
    <col min="2" max="10" width="9.81640625" style="209" customWidth="1"/>
    <col min="11" max="16384" width="9.1796875" style="209"/>
  </cols>
  <sheetData>
    <row r="1" spans="1:10" ht="27.75" customHeight="1">
      <c r="A1" s="258" t="s">
        <v>345</v>
      </c>
      <c r="B1" s="261">
        <v>0</v>
      </c>
      <c r="C1" s="261">
        <v>1</v>
      </c>
      <c r="D1" s="261">
        <v>2</v>
      </c>
      <c r="E1" s="261">
        <v>3</v>
      </c>
      <c r="F1" s="261">
        <v>4</v>
      </c>
      <c r="G1" s="261">
        <v>5</v>
      </c>
      <c r="H1" s="261">
        <v>6</v>
      </c>
      <c r="I1" s="261">
        <v>7</v>
      </c>
      <c r="J1" s="261">
        <v>8</v>
      </c>
    </row>
    <row r="2" spans="1:10">
      <c r="A2" s="259" t="s">
        <v>306</v>
      </c>
      <c r="B2" s="262">
        <v>45291</v>
      </c>
      <c r="C2" s="262">
        <v>45199</v>
      </c>
      <c r="D2" s="262">
        <v>45107</v>
      </c>
      <c r="E2" s="262">
        <v>45016</v>
      </c>
      <c r="F2" s="262">
        <v>44926</v>
      </c>
      <c r="G2" s="262">
        <v>44834</v>
      </c>
      <c r="H2" s="262">
        <v>44742</v>
      </c>
      <c r="I2" s="262">
        <v>44651</v>
      </c>
      <c r="J2" s="262">
        <v>44561</v>
      </c>
    </row>
    <row r="3" spans="1:10">
      <c r="A3" s="202"/>
      <c r="B3" s="203"/>
      <c r="C3" s="203"/>
      <c r="D3" s="203"/>
      <c r="E3" s="203"/>
      <c r="F3" s="203"/>
      <c r="G3" s="203"/>
      <c r="H3" s="203"/>
      <c r="I3" s="203"/>
      <c r="J3" s="203"/>
    </row>
    <row r="4" spans="1:10">
      <c r="A4" s="204" t="s">
        <v>370</v>
      </c>
      <c r="B4" s="203"/>
      <c r="C4" s="203"/>
      <c r="D4" s="203"/>
      <c r="E4" s="203"/>
      <c r="F4" s="203"/>
      <c r="G4" s="203"/>
      <c r="H4" s="203"/>
      <c r="I4" s="203"/>
      <c r="J4" s="203"/>
    </row>
    <row r="5" spans="1:10">
      <c r="A5" s="217" t="s">
        <v>51</v>
      </c>
      <c r="B5" s="225">
        <v>199301</v>
      </c>
      <c r="C5" s="225">
        <v>192560</v>
      </c>
      <c r="D5" s="225">
        <v>186316</v>
      </c>
      <c r="E5" s="225">
        <v>179932</v>
      </c>
      <c r="F5" s="225">
        <v>187956</v>
      </c>
      <c r="G5" s="225">
        <v>186153</v>
      </c>
      <c r="H5" s="225">
        <v>182277</v>
      </c>
      <c r="I5" s="225">
        <v>173013</v>
      </c>
      <c r="J5" s="225">
        <v>193681</v>
      </c>
    </row>
    <row r="6" spans="1:10">
      <c r="A6" s="206" t="s">
        <v>383</v>
      </c>
      <c r="B6" s="224">
        <v>0</v>
      </c>
      <c r="C6" s="224">
        <v>0</v>
      </c>
      <c r="D6" s="224">
        <v>0</v>
      </c>
      <c r="E6" s="224">
        <v>0</v>
      </c>
      <c r="F6" s="224">
        <v>0</v>
      </c>
      <c r="G6" s="224">
        <v>0</v>
      </c>
      <c r="H6" s="224">
        <v>0</v>
      </c>
      <c r="I6" s="224">
        <v>0</v>
      </c>
      <c r="J6" s="224">
        <v>0</v>
      </c>
    </row>
    <row r="7" spans="1:10">
      <c r="A7" s="206" t="s">
        <v>400</v>
      </c>
      <c r="B7" s="224">
        <v>0</v>
      </c>
      <c r="C7" s="224">
        <v>0</v>
      </c>
      <c r="D7" s="224">
        <v>0</v>
      </c>
      <c r="E7" s="224">
        <v>-6291</v>
      </c>
      <c r="F7" s="224">
        <v>0</v>
      </c>
      <c r="G7" s="224">
        <v>-4863</v>
      </c>
      <c r="H7" s="224">
        <v>0</v>
      </c>
      <c r="I7" s="224">
        <v>-5818</v>
      </c>
      <c r="J7" s="224">
        <v>0</v>
      </c>
    </row>
    <row r="8" spans="1:10">
      <c r="A8" s="206" t="s">
        <v>375</v>
      </c>
      <c r="B8" s="238">
        <v>-503</v>
      </c>
      <c r="C8" s="238">
        <v>-661</v>
      </c>
      <c r="D8" s="238">
        <v>-665</v>
      </c>
      <c r="E8" s="238">
        <v>-656</v>
      </c>
      <c r="F8" s="238">
        <v>-649</v>
      </c>
      <c r="G8" s="238">
        <v>-680</v>
      </c>
      <c r="H8" s="238">
        <v>-686</v>
      </c>
      <c r="I8" s="238">
        <v>-680</v>
      </c>
      <c r="J8" s="238">
        <v>-673</v>
      </c>
    </row>
    <row r="9" spans="1:10">
      <c r="A9" s="204" t="s">
        <v>381</v>
      </c>
      <c r="B9" s="224">
        <v>198798</v>
      </c>
      <c r="C9" s="224">
        <v>191899</v>
      </c>
      <c r="D9" s="224">
        <v>185657</v>
      </c>
      <c r="E9" s="224">
        <v>172985</v>
      </c>
      <c r="F9" s="224">
        <v>187307</v>
      </c>
      <c r="G9" s="224">
        <v>180610</v>
      </c>
      <c r="H9" s="224">
        <v>181591</v>
      </c>
      <c r="I9" s="224">
        <v>166515</v>
      </c>
      <c r="J9" s="224">
        <v>193008</v>
      </c>
    </row>
    <row r="10" spans="1:10">
      <c r="A10" s="206" t="s">
        <v>17</v>
      </c>
      <c r="B10" s="224">
        <v>-7211</v>
      </c>
      <c r="C10" s="224">
        <v>-7073</v>
      </c>
      <c r="D10" s="224">
        <v>-6888</v>
      </c>
      <c r="E10" s="224">
        <v>-6601</v>
      </c>
      <c r="F10" s="224">
        <v>-6425</v>
      </c>
      <c r="G10" s="224">
        <v>-6055</v>
      </c>
      <c r="H10" s="224">
        <v>-6011</v>
      </c>
      <c r="I10" s="224">
        <v>-8490</v>
      </c>
      <c r="J10" s="224">
        <v>-8435</v>
      </c>
    </row>
    <row r="11" spans="1:10">
      <c r="A11" s="206" t="s">
        <v>106</v>
      </c>
      <c r="B11" s="224">
        <v>0</v>
      </c>
      <c r="C11" s="224">
        <v>0</v>
      </c>
      <c r="D11" s="224">
        <v>0</v>
      </c>
      <c r="E11" s="224">
        <v>0</v>
      </c>
      <c r="F11" s="224">
        <v>0</v>
      </c>
      <c r="G11" s="224">
        <v>0</v>
      </c>
      <c r="H11" s="224">
        <v>0</v>
      </c>
      <c r="I11" s="224">
        <v>0</v>
      </c>
      <c r="J11" s="224">
        <v>0</v>
      </c>
    </row>
    <row r="12" spans="1:10">
      <c r="A12" s="206" t="s">
        <v>382</v>
      </c>
      <c r="B12" s="224">
        <v>-12877</v>
      </c>
      <c r="C12" s="224">
        <v>-6683</v>
      </c>
      <c r="D12" s="224">
        <v>-6683</v>
      </c>
      <c r="E12" s="224">
        <v>-897</v>
      </c>
      <c r="F12" s="224">
        <v>-15980</v>
      </c>
      <c r="G12" s="224">
        <v>-10570</v>
      </c>
      <c r="H12" s="224">
        <v>-7759</v>
      </c>
      <c r="I12" s="224">
        <v>0</v>
      </c>
      <c r="J12" s="224">
        <v>-26773</v>
      </c>
    </row>
    <row r="13" spans="1:10">
      <c r="A13" s="206" t="s">
        <v>398</v>
      </c>
      <c r="B13" s="224">
        <v>952</v>
      </c>
      <c r="C13" s="224">
        <v>1041</v>
      </c>
      <c r="D13" s="224">
        <v>766</v>
      </c>
      <c r="E13" s="224">
        <v>687</v>
      </c>
      <c r="F13" s="224">
        <v>1142</v>
      </c>
      <c r="G13" s="224">
        <v>1018</v>
      </c>
      <c r="H13" s="224">
        <v>890</v>
      </c>
      <c r="I13" s="224">
        <v>1199</v>
      </c>
      <c r="J13" s="224">
        <v>920</v>
      </c>
    </row>
    <row r="14" spans="1:10">
      <c r="A14" s="206" t="s">
        <v>343</v>
      </c>
      <c r="B14" s="238">
        <v>-227</v>
      </c>
      <c r="C14" s="238">
        <v>-247</v>
      </c>
      <c r="D14" s="238">
        <v>-4878</v>
      </c>
      <c r="E14" s="238">
        <v>-37</v>
      </c>
      <c r="F14" s="238">
        <v>-224</v>
      </c>
      <c r="G14" s="238">
        <v>-254</v>
      </c>
      <c r="H14" s="238">
        <v>-227</v>
      </c>
      <c r="I14" s="238">
        <v>4417</v>
      </c>
      <c r="J14" s="238">
        <v>-437</v>
      </c>
    </row>
    <row r="15" spans="1:10">
      <c r="A15" s="204" t="s">
        <v>368</v>
      </c>
      <c r="B15" s="238">
        <v>179435</v>
      </c>
      <c r="C15" s="238">
        <v>178937</v>
      </c>
      <c r="D15" s="238">
        <v>167974</v>
      </c>
      <c r="E15" s="238">
        <v>166137</v>
      </c>
      <c r="F15" s="238">
        <v>165820</v>
      </c>
      <c r="G15" s="238">
        <v>164749</v>
      </c>
      <c r="H15" s="238">
        <v>168484</v>
      </c>
      <c r="I15" s="238">
        <v>163641</v>
      </c>
      <c r="J15" s="238">
        <v>158283</v>
      </c>
    </row>
    <row r="16" spans="1:10">
      <c r="A16" s="206" t="s">
        <v>415</v>
      </c>
      <c r="B16" s="252">
        <v>117</v>
      </c>
      <c r="C16" s="252">
        <v>115</v>
      </c>
      <c r="D16" s="252">
        <v>102</v>
      </c>
      <c r="E16" s="252">
        <v>103</v>
      </c>
      <c r="F16" s="252">
        <v>105</v>
      </c>
      <c r="G16" s="252">
        <v>87</v>
      </c>
      <c r="H16" s="252">
        <v>91</v>
      </c>
      <c r="I16" s="252">
        <v>89</v>
      </c>
      <c r="J16" s="252">
        <v>133</v>
      </c>
    </row>
    <row r="17" spans="1:10">
      <c r="A17" s="206" t="s">
        <v>391</v>
      </c>
      <c r="B17" s="238">
        <v>13217</v>
      </c>
      <c r="C17" s="238">
        <v>12932</v>
      </c>
      <c r="D17" s="238">
        <v>12931</v>
      </c>
      <c r="E17" s="238">
        <v>12869</v>
      </c>
      <c r="F17" s="238">
        <v>13396</v>
      </c>
      <c r="G17" s="238">
        <v>13297</v>
      </c>
      <c r="H17" s="238">
        <v>12714</v>
      </c>
      <c r="I17" s="238">
        <v>12315</v>
      </c>
      <c r="J17" s="238">
        <v>13225</v>
      </c>
    </row>
    <row r="18" spans="1:10">
      <c r="A18" s="204" t="s">
        <v>124</v>
      </c>
      <c r="B18" s="238">
        <v>192769</v>
      </c>
      <c r="C18" s="238">
        <v>191984</v>
      </c>
      <c r="D18" s="238">
        <v>181007</v>
      </c>
      <c r="E18" s="238">
        <v>179109</v>
      </c>
      <c r="F18" s="238">
        <v>179321</v>
      </c>
      <c r="G18" s="238">
        <v>178133</v>
      </c>
      <c r="H18" s="238">
        <v>181289</v>
      </c>
      <c r="I18" s="238">
        <v>176045</v>
      </c>
      <c r="J18" s="238">
        <v>171641</v>
      </c>
    </row>
    <row r="19" spans="1:10">
      <c r="A19" s="206" t="s">
        <v>403</v>
      </c>
      <c r="B19" s="252">
        <v>28061</v>
      </c>
      <c r="C19" s="252">
        <v>33920</v>
      </c>
      <c r="D19" s="252">
        <v>33547</v>
      </c>
      <c r="E19" s="252">
        <v>33812</v>
      </c>
      <c r="F19" s="252">
        <v>33935</v>
      </c>
      <c r="G19" s="252">
        <v>20792</v>
      </c>
      <c r="H19" s="252">
        <v>20678</v>
      </c>
      <c r="I19" s="252">
        <v>21359</v>
      </c>
      <c r="J19" s="252">
        <v>21863</v>
      </c>
    </row>
    <row r="20" spans="1:10">
      <c r="A20" s="206" t="s">
        <v>404</v>
      </c>
      <c r="B20" s="238">
        <v>-1247</v>
      </c>
      <c r="C20" s="238">
        <v>-1242</v>
      </c>
      <c r="D20" s="238">
        <v>-1216</v>
      </c>
      <c r="E20" s="238">
        <v>-1200</v>
      </c>
      <c r="F20" s="238">
        <v>-1155</v>
      </c>
      <c r="G20" s="238">
        <v>-1154</v>
      </c>
      <c r="H20" s="238">
        <v>-1111</v>
      </c>
      <c r="I20" s="238">
        <v>-1089</v>
      </c>
      <c r="J20" s="238">
        <v>-1056</v>
      </c>
    </row>
    <row r="21" spans="1:10" s="215" customFormat="1">
      <c r="A21" s="204" t="s">
        <v>369</v>
      </c>
      <c r="B21" s="224">
        <v>26814</v>
      </c>
      <c r="C21" s="224">
        <v>32678</v>
      </c>
      <c r="D21" s="224">
        <v>32331</v>
      </c>
      <c r="E21" s="224">
        <v>32612</v>
      </c>
      <c r="F21" s="224">
        <v>32780</v>
      </c>
      <c r="G21" s="224">
        <v>19638</v>
      </c>
      <c r="H21" s="224">
        <v>19567</v>
      </c>
      <c r="I21" s="224">
        <v>20270</v>
      </c>
      <c r="J21" s="224">
        <v>20807</v>
      </c>
    </row>
    <row r="22" spans="1:10" ht="14.5" thickBot="1">
      <c r="A22" s="204" t="s">
        <v>402</v>
      </c>
      <c r="B22" s="239">
        <v>219583</v>
      </c>
      <c r="C22" s="239">
        <v>224662</v>
      </c>
      <c r="D22" s="239">
        <v>213338</v>
      </c>
      <c r="E22" s="239">
        <v>211721</v>
      </c>
      <c r="F22" s="239">
        <v>212101</v>
      </c>
      <c r="G22" s="239">
        <v>197771</v>
      </c>
      <c r="H22" s="239">
        <v>200856</v>
      </c>
      <c r="I22" s="239">
        <v>196315</v>
      </c>
      <c r="J22" s="239">
        <v>192448</v>
      </c>
    </row>
    <row r="23" spans="1:10" ht="14.5" thickTop="1">
      <c r="A23" s="206"/>
      <c r="B23" s="223"/>
      <c r="C23" s="225"/>
      <c r="D23" s="223"/>
      <c r="E23" s="223"/>
      <c r="F23" s="223"/>
      <c r="G23" s="223"/>
      <c r="H23" s="223"/>
      <c r="I23" s="223"/>
      <c r="J23" s="223"/>
    </row>
    <row r="24" spans="1:10">
      <c r="A24" s="204" t="s">
        <v>393</v>
      </c>
      <c r="B24" s="224"/>
      <c r="C24" s="224"/>
      <c r="D24" s="224"/>
      <c r="E24" s="224"/>
      <c r="F24" s="224"/>
      <c r="G24" s="224"/>
      <c r="H24" s="224"/>
      <c r="I24" s="224"/>
      <c r="J24" s="224"/>
    </row>
    <row r="25" spans="1:10">
      <c r="A25" s="206" t="s">
        <v>371</v>
      </c>
      <c r="B25" s="225">
        <v>732760</v>
      </c>
      <c r="C25" s="225">
        <v>737824</v>
      </c>
      <c r="D25" s="225">
        <v>736432</v>
      </c>
      <c r="E25" s="225">
        <v>730700</v>
      </c>
      <c r="F25" s="225">
        <v>707479</v>
      </c>
      <c r="G25" s="225">
        <v>693037</v>
      </c>
      <c r="H25" s="225">
        <v>664294</v>
      </c>
      <c r="I25" s="225">
        <v>664568</v>
      </c>
      <c r="J25" s="225">
        <v>623395</v>
      </c>
    </row>
    <row r="26" spans="1:10">
      <c r="A26" s="12" t="s">
        <v>373</v>
      </c>
      <c r="B26" s="225">
        <v>52032</v>
      </c>
      <c r="C26" s="225">
        <v>55066</v>
      </c>
      <c r="D26" s="225">
        <v>56425</v>
      </c>
      <c r="E26" s="224">
        <v>54540</v>
      </c>
      <c r="F26" s="224">
        <v>56714</v>
      </c>
      <c r="G26" s="224">
        <v>64164</v>
      </c>
      <c r="H26" s="224">
        <v>78607</v>
      </c>
      <c r="I26" s="224">
        <v>72948</v>
      </c>
      <c r="J26" s="224">
        <v>69553</v>
      </c>
    </row>
    <row r="27" spans="1:10">
      <c r="A27" s="206" t="s">
        <v>377</v>
      </c>
      <c r="B27" s="224">
        <v>7442</v>
      </c>
      <c r="C27" s="224">
        <v>12567</v>
      </c>
      <c r="D27" s="224">
        <v>15923</v>
      </c>
      <c r="E27" s="224">
        <v>16257</v>
      </c>
      <c r="F27" s="224">
        <v>14645</v>
      </c>
      <c r="G27" s="224">
        <v>11946</v>
      </c>
      <c r="H27" s="224">
        <v>9371</v>
      </c>
      <c r="I27" s="224">
        <v>7505</v>
      </c>
      <c r="J27" s="224">
        <v>7761</v>
      </c>
    </row>
    <row r="28" spans="1:10">
      <c r="A28" s="206" t="s">
        <v>378</v>
      </c>
      <c r="B28" s="225">
        <v>4751</v>
      </c>
      <c r="C28" s="225">
        <v>1907</v>
      </c>
      <c r="D28" s="225">
        <v>1417</v>
      </c>
      <c r="E28" s="225">
        <v>2851</v>
      </c>
      <c r="F28" s="225">
        <v>1387</v>
      </c>
      <c r="G28" s="225">
        <v>1778</v>
      </c>
      <c r="H28" s="225">
        <v>4262</v>
      </c>
      <c r="I28" s="225">
        <v>8476</v>
      </c>
      <c r="J28" s="225">
        <v>4691</v>
      </c>
    </row>
    <row r="29" spans="1:10">
      <c r="A29" s="206" t="s">
        <v>37</v>
      </c>
      <c r="B29" s="225">
        <v>11066</v>
      </c>
      <c r="C29" s="225">
        <v>7165</v>
      </c>
      <c r="D29" s="225">
        <v>8628</v>
      </c>
      <c r="E29" s="225">
        <v>8647</v>
      </c>
      <c r="F29" s="225">
        <v>7493</v>
      </c>
      <c r="G29" s="225">
        <v>10315</v>
      </c>
      <c r="H29" s="225">
        <v>15678</v>
      </c>
      <c r="I29" s="225">
        <v>18925</v>
      </c>
      <c r="J29" s="225">
        <v>8958</v>
      </c>
    </row>
    <row r="30" spans="1:10">
      <c r="A30" s="206" t="s">
        <v>372</v>
      </c>
      <c r="B30" s="225">
        <v>3680</v>
      </c>
      <c r="C30" s="225">
        <v>3494</v>
      </c>
      <c r="D30" s="225">
        <v>3709</v>
      </c>
      <c r="E30" s="225">
        <v>4931</v>
      </c>
      <c r="F30" s="224">
        <v>6010</v>
      </c>
      <c r="G30" s="224">
        <v>2830</v>
      </c>
      <c r="H30" s="224">
        <v>1708</v>
      </c>
      <c r="I30" s="224">
        <v>2171</v>
      </c>
      <c r="J30" s="224">
        <v>2379</v>
      </c>
    </row>
    <row r="31" spans="1:10">
      <c r="A31" s="206" t="s">
        <v>38</v>
      </c>
      <c r="B31" s="240">
        <v>98740</v>
      </c>
      <c r="C31" s="240">
        <v>89166</v>
      </c>
      <c r="D31" s="240">
        <v>89166</v>
      </c>
      <c r="E31" s="240">
        <v>89166</v>
      </c>
      <c r="F31" s="240">
        <v>89166</v>
      </c>
      <c r="G31" s="240">
        <v>84670</v>
      </c>
      <c r="H31" s="240">
        <v>84670</v>
      </c>
      <c r="I31" s="240">
        <v>96085</v>
      </c>
      <c r="J31" s="240">
        <v>96085</v>
      </c>
    </row>
    <row r="32" spans="1:10">
      <c r="A32" s="204" t="s">
        <v>394</v>
      </c>
      <c r="B32" s="241">
        <v>910471</v>
      </c>
      <c r="C32" s="241">
        <v>907189</v>
      </c>
      <c r="D32" s="241">
        <v>911700</v>
      </c>
      <c r="E32" s="241">
        <v>907092</v>
      </c>
      <c r="F32" s="241">
        <v>882894</v>
      </c>
      <c r="G32" s="241">
        <v>868740</v>
      </c>
      <c r="H32" s="241">
        <v>858590</v>
      </c>
      <c r="I32" s="241">
        <v>870678</v>
      </c>
      <c r="J32" s="241">
        <v>812822</v>
      </c>
    </row>
    <row r="33" spans="1:10">
      <c r="A33" s="221"/>
      <c r="B33" s="247"/>
      <c r="C33" s="251"/>
      <c r="D33" s="247"/>
      <c r="E33" s="247"/>
      <c r="F33" s="247"/>
      <c r="G33" s="247"/>
      <c r="H33" s="247"/>
      <c r="I33" s="247"/>
      <c r="J33" s="247"/>
    </row>
    <row r="34" spans="1:10">
      <c r="A34" s="204" t="s">
        <v>422</v>
      </c>
      <c r="B34" s="226"/>
      <c r="C34" s="226"/>
      <c r="D34" s="226"/>
      <c r="E34" s="226"/>
      <c r="F34" s="226"/>
      <c r="G34" s="226"/>
      <c r="H34" s="226"/>
      <c r="I34" s="226"/>
      <c r="J34" s="226"/>
    </row>
    <row r="35" spans="1:10">
      <c r="A35" s="206" t="s">
        <v>379</v>
      </c>
      <c r="B35" s="223">
        <v>0.19707895019780969</v>
      </c>
      <c r="C35" s="223">
        <v>0.19386170108897374</v>
      </c>
      <c r="D35" s="223">
        <v>0.1893075492450268</v>
      </c>
      <c r="E35" s="223">
        <v>0.18640761962752844</v>
      </c>
      <c r="F35" s="223">
        <v>0.18803916606279367</v>
      </c>
      <c r="G35" s="223">
        <v>0.19259145315781739</v>
      </c>
      <c r="H35" s="223">
        <v>0.19743773849416985</v>
      </c>
      <c r="I35" s="223">
        <v>0.186</v>
      </c>
      <c r="J35" s="223">
        <v>0.19586086316472559</v>
      </c>
    </row>
    <row r="36" spans="1:10">
      <c r="A36" s="206" t="s">
        <v>100</v>
      </c>
      <c r="B36" s="223">
        <v>0.21172411736952632</v>
      </c>
      <c r="C36" s="223">
        <v>0.20486200708714503</v>
      </c>
      <c r="D36" s="223">
        <v>0.20360280909844664</v>
      </c>
      <c r="E36" s="223">
        <v>0.2007082689033064</v>
      </c>
      <c r="F36" s="223">
        <v>0.20331469650001366</v>
      </c>
      <c r="G36" s="223">
        <v>0.20519512129719558</v>
      </c>
      <c r="H36" s="223">
        <v>0.20904475652934817</v>
      </c>
      <c r="I36" s="223">
        <v>0.19733102520865156</v>
      </c>
      <c r="J36" s="223">
        <v>0.21229496749986632</v>
      </c>
    </row>
    <row r="37" spans="1:10">
      <c r="A37" s="206" t="s">
        <v>366</v>
      </c>
      <c r="B37" s="223">
        <v>0.24117590660828295</v>
      </c>
      <c r="C37" s="223">
        <v>0.24426575140263496</v>
      </c>
      <c r="D37" s="223">
        <v>0.23906510069062933</v>
      </c>
      <c r="E37" s="223">
        <v>0.23666053333297571</v>
      </c>
      <c r="F37" s="223">
        <v>0.24040320014656363</v>
      </c>
      <c r="G37" s="223">
        <v>0.23060285254507615</v>
      </c>
      <c r="H37" s="223">
        <v>0.23514026585288555</v>
      </c>
      <c r="I37" s="223">
        <v>0.224</v>
      </c>
      <c r="J37" s="223">
        <v>0.23789344099150228</v>
      </c>
    </row>
    <row r="38" spans="1:10">
      <c r="A38" s="206"/>
      <c r="B38" s="223"/>
      <c r="C38" s="223"/>
      <c r="D38" s="223"/>
      <c r="E38" s="223"/>
      <c r="F38" s="223"/>
      <c r="G38" s="223"/>
      <c r="H38" s="223"/>
      <c r="I38" s="223"/>
      <c r="J38" s="223"/>
    </row>
    <row r="39" spans="1:10">
      <c r="A39" s="204" t="s">
        <v>347</v>
      </c>
      <c r="B39" s="223"/>
      <c r="C39" s="223"/>
      <c r="D39" s="223"/>
      <c r="E39" s="223"/>
      <c r="F39" s="223"/>
      <c r="G39" s="223"/>
      <c r="H39" s="223"/>
      <c r="I39" s="223"/>
      <c r="J39" s="223"/>
    </row>
    <row r="40" spans="1:10">
      <c r="A40" s="206" t="s">
        <v>348</v>
      </c>
      <c r="B40" s="225">
        <v>1477968</v>
      </c>
      <c r="C40" s="225">
        <v>1490781</v>
      </c>
      <c r="D40" s="225">
        <v>1475365</v>
      </c>
      <c r="E40" s="225">
        <v>1457202</v>
      </c>
      <c r="F40" s="225">
        <v>1415353</v>
      </c>
      <c r="G40" s="225">
        <v>1380093</v>
      </c>
      <c r="H40" s="225">
        <v>1340969</v>
      </c>
      <c r="I40" s="225">
        <v>1313520</v>
      </c>
      <c r="J40" s="225">
        <v>1256916</v>
      </c>
    </row>
    <row r="41" spans="1:10">
      <c r="A41" s="206" t="s">
        <v>349</v>
      </c>
      <c r="B41" s="225">
        <v>15953</v>
      </c>
      <c r="C41" s="225">
        <v>23872</v>
      </c>
      <c r="D41" s="225">
        <v>28229</v>
      </c>
      <c r="E41" s="225">
        <v>30411</v>
      </c>
      <c r="F41" s="225">
        <v>32118</v>
      </c>
      <c r="G41" s="225">
        <v>25837</v>
      </c>
      <c r="H41" s="225">
        <v>18745</v>
      </c>
      <c r="I41" s="225">
        <v>13737</v>
      </c>
      <c r="J41" s="225">
        <v>4796</v>
      </c>
    </row>
    <row r="42" spans="1:10">
      <c r="A42" s="206" t="s">
        <v>350</v>
      </c>
      <c r="B42" s="225">
        <v>10326</v>
      </c>
      <c r="C42" s="225">
        <v>10020</v>
      </c>
      <c r="D42" s="225">
        <v>28903</v>
      </c>
      <c r="E42" s="225">
        <v>39705</v>
      </c>
      <c r="F42" s="225">
        <v>10174</v>
      </c>
      <c r="G42" s="225">
        <v>10943</v>
      </c>
      <c r="H42" s="225">
        <v>10549</v>
      </c>
      <c r="I42" s="225">
        <v>354</v>
      </c>
      <c r="J42" s="225">
        <v>720</v>
      </c>
    </row>
    <row r="43" spans="1:10">
      <c r="A43" s="206" t="s">
        <v>351</v>
      </c>
      <c r="B43" s="225">
        <v>46087</v>
      </c>
      <c r="C43" s="225">
        <v>52682</v>
      </c>
      <c r="D43" s="225">
        <v>56058</v>
      </c>
      <c r="E43" s="225">
        <v>57645</v>
      </c>
      <c r="F43" s="225">
        <v>59723</v>
      </c>
      <c r="G43" s="225">
        <v>63019</v>
      </c>
      <c r="H43" s="225">
        <v>68435</v>
      </c>
      <c r="I43" s="225">
        <v>76115</v>
      </c>
      <c r="J43" s="225">
        <v>102016</v>
      </c>
    </row>
    <row r="44" spans="1:10">
      <c r="A44" s="204" t="s">
        <v>352</v>
      </c>
      <c r="B44" s="241">
        <v>1550334</v>
      </c>
      <c r="C44" s="241">
        <v>1577355</v>
      </c>
      <c r="D44" s="241">
        <v>1588555</v>
      </c>
      <c r="E44" s="241">
        <v>1584963</v>
      </c>
      <c r="F44" s="241">
        <v>1517368</v>
      </c>
      <c r="G44" s="241">
        <v>1479892</v>
      </c>
      <c r="H44" s="241">
        <v>1438698</v>
      </c>
      <c r="I44" s="241">
        <v>1403726</v>
      </c>
      <c r="J44" s="241">
        <v>1364448</v>
      </c>
    </row>
    <row r="45" spans="1:10">
      <c r="A45" s="204" t="s">
        <v>124</v>
      </c>
      <c r="B45" s="241">
        <v>192769</v>
      </c>
      <c r="C45" s="241">
        <v>187366</v>
      </c>
      <c r="D45" s="241">
        <v>185822</v>
      </c>
      <c r="E45" s="241">
        <v>178912</v>
      </c>
      <c r="F45" s="241">
        <v>179321</v>
      </c>
      <c r="G45" s="241">
        <v>178133</v>
      </c>
      <c r="H45" s="241">
        <v>181289</v>
      </c>
      <c r="I45" s="241">
        <v>176045</v>
      </c>
      <c r="J45" s="241">
        <v>171641</v>
      </c>
    </row>
    <row r="46" spans="1:10">
      <c r="A46" s="204" t="s">
        <v>347</v>
      </c>
      <c r="B46" s="234">
        <v>0.12434030344429006</v>
      </c>
      <c r="C46" s="234">
        <v>0.11878492793315391</v>
      </c>
      <c r="D46" s="234">
        <v>0.11697549030408139</v>
      </c>
      <c r="E46" s="234">
        <v>0.11288086851238799</v>
      </c>
      <c r="F46" s="234">
        <v>0.11817897833617158</v>
      </c>
      <c r="G46" s="234">
        <v>0.12036891881299445</v>
      </c>
      <c r="H46" s="234">
        <v>0.12600907209157169</v>
      </c>
      <c r="I46" s="234">
        <v>0.12541265175682434</v>
      </c>
      <c r="J46" s="234">
        <v>0.12579519336757428</v>
      </c>
    </row>
    <row r="47" spans="1:10">
      <c r="A47" s="208"/>
      <c r="B47" s="223"/>
      <c r="C47" s="223"/>
      <c r="D47" s="223"/>
      <c r="E47" s="223"/>
      <c r="F47" s="223"/>
      <c r="G47" s="223"/>
      <c r="H47" s="223"/>
      <c r="I47" s="223"/>
      <c r="J47" s="223"/>
    </row>
    <row r="48" spans="1:10">
      <c r="A48" s="204" t="s">
        <v>346</v>
      </c>
      <c r="B48" s="223"/>
      <c r="C48" s="223"/>
      <c r="D48" s="223"/>
      <c r="E48" s="223"/>
      <c r="F48" s="223"/>
      <c r="G48" s="223"/>
      <c r="H48" s="223"/>
      <c r="I48" s="223"/>
      <c r="J48" s="223"/>
    </row>
    <row r="49" spans="1:10">
      <c r="A49" s="206" t="s">
        <v>399</v>
      </c>
      <c r="B49" s="253">
        <v>2.8474252690544165E-2</v>
      </c>
      <c r="C49" s="253">
        <v>2.8837056792860194E-2</v>
      </c>
      <c r="D49" s="253">
        <v>2.971921977609537E-2</v>
      </c>
      <c r="E49" s="253">
        <v>2.8116421022287324E-2</v>
      </c>
      <c r="F49" s="253">
        <v>2.9596685767413089E-2</v>
      </c>
      <c r="G49" s="253">
        <v>3.1887448705056151E-2</v>
      </c>
      <c r="H49" s="253">
        <v>3.6654878466144E-2</v>
      </c>
      <c r="I49" s="253">
        <v>2.7647163647163648E-2</v>
      </c>
      <c r="J49" s="253">
        <v>3.726214213238159E-2</v>
      </c>
    </row>
    <row r="50" spans="1:10">
      <c r="A50" s="206" t="s">
        <v>392</v>
      </c>
      <c r="B50" s="223">
        <v>0.59676719504585518</v>
      </c>
      <c r="C50" s="223">
        <v>0.58882797018697719</v>
      </c>
      <c r="D50" s="223">
        <v>0.60050348235374706</v>
      </c>
      <c r="E50" s="223">
        <v>0.604468481531929</v>
      </c>
      <c r="F50" s="223">
        <v>0.60240759984416037</v>
      </c>
      <c r="G50" s="223">
        <v>0.61005223160552846</v>
      </c>
      <c r="H50" s="223">
        <v>0.62065505677838251</v>
      </c>
      <c r="I50" s="223">
        <v>0.64926790528070155</v>
      </c>
      <c r="J50" s="223">
        <v>0.61865002770454169</v>
      </c>
    </row>
    <row r="52" spans="1:10" ht="19.5" customHeight="1">
      <c r="A52" s="257"/>
      <c r="B52" s="257"/>
      <c r="C52" s="257"/>
      <c r="D52" s="257"/>
      <c r="E52" s="257"/>
      <c r="F52" s="257"/>
    </row>
    <row r="53" spans="1:10">
      <c r="A53" s="211" t="s">
        <v>414</v>
      </c>
      <c r="B53" s="267"/>
    </row>
    <row r="54" spans="1:10">
      <c r="A54" s="211"/>
    </row>
    <row r="58" spans="1:10">
      <c r="A58" s="211"/>
    </row>
    <row r="59" spans="1:10">
      <c r="A59" s="211"/>
    </row>
    <row r="60" spans="1:10">
      <c r="A60" s="208"/>
      <c r="B60" s="207"/>
      <c r="C60" s="207"/>
      <c r="D60" s="207"/>
      <c r="E60" s="207"/>
      <c r="F60" s="207"/>
      <c r="G60" s="207"/>
      <c r="H60" s="207"/>
      <c r="I60" s="207"/>
      <c r="J60" s="207"/>
    </row>
    <row r="61" spans="1:10">
      <c r="B61" s="207"/>
      <c r="C61" s="207"/>
      <c r="D61" s="207"/>
      <c r="E61" s="207"/>
      <c r="F61" s="207"/>
      <c r="G61" s="207"/>
      <c r="H61" s="207"/>
      <c r="I61" s="207"/>
      <c r="J61" s="207"/>
    </row>
    <row r="62" spans="1:10">
      <c r="A62" s="221"/>
      <c r="B62" s="210"/>
      <c r="C62" s="210"/>
      <c r="D62" s="210"/>
      <c r="E62" s="210"/>
      <c r="F62" s="210"/>
      <c r="G62" s="210"/>
      <c r="H62" s="210"/>
      <c r="I62" s="210"/>
      <c r="J62" s="210"/>
    </row>
    <row r="63" spans="1:10">
      <c r="A63" s="208"/>
      <c r="B63" s="207"/>
      <c r="C63" s="207"/>
      <c r="D63" s="207"/>
      <c r="E63" s="207"/>
      <c r="F63" s="207"/>
      <c r="G63" s="207"/>
      <c r="H63" s="207"/>
      <c r="I63" s="207"/>
      <c r="J63" s="207"/>
    </row>
    <row r="64" spans="1:10">
      <c r="A64" s="208"/>
      <c r="B64" s="207"/>
      <c r="C64" s="207"/>
      <c r="D64" s="207"/>
      <c r="E64" s="207"/>
      <c r="F64" s="207"/>
      <c r="G64" s="207"/>
      <c r="H64" s="207"/>
      <c r="I64" s="207"/>
      <c r="J64" s="207"/>
    </row>
    <row r="65" spans="1:10">
      <c r="A65" s="208"/>
      <c r="B65" s="207"/>
      <c r="C65" s="207"/>
      <c r="D65" s="207"/>
      <c r="E65" s="207"/>
      <c r="F65" s="207"/>
      <c r="G65" s="207"/>
      <c r="H65" s="207"/>
      <c r="I65" s="207"/>
      <c r="J65" s="207"/>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31.12.2023&amp;C&amp;8&amp;P&amp;R&amp;8__________________________&amp;"-,Italic"____________________________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51B8-98CF-4331-BBCF-A0DB08F49874}">
  <sheetPr>
    <tabColor rgb="FF005FAB"/>
  </sheetPr>
  <dimension ref="A1:CU144"/>
  <sheetViews>
    <sheetView topLeftCell="A2" zoomScaleNormal="100" zoomScaleSheetLayoutView="100" workbookViewId="0"/>
  </sheetViews>
  <sheetFormatPr defaultColWidth="9.1796875" defaultRowHeight="14.5"/>
  <cols>
    <col min="1" max="1" width="44" style="196" customWidth="1"/>
    <col min="2" max="10" width="9.7265625" style="196" customWidth="1"/>
    <col min="11" max="12" width="9.1796875" style="196"/>
    <col min="13" max="13" width="11.26953125" style="196" customWidth="1"/>
    <col min="14" max="14" width="9.81640625" style="196" bestFit="1" customWidth="1"/>
    <col min="15" max="16384" width="9.1796875" style="196"/>
  </cols>
  <sheetData>
    <row r="1" spans="1:99" s="209" customFormat="1" hidden="1">
      <c r="H1" s="280">
        <v>0</v>
      </c>
      <c r="I1" s="281">
        <v>1</v>
      </c>
      <c r="J1" s="220">
        <v>2</v>
      </c>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row>
    <row r="2" spans="1:99" s="209" customFormat="1" ht="27.75" customHeight="1">
      <c r="A2" s="268" t="s">
        <v>434</v>
      </c>
      <c r="B2" s="268"/>
      <c r="C2" s="268"/>
      <c r="D2" s="268"/>
      <c r="E2" s="268"/>
      <c r="F2" s="268"/>
      <c r="G2" s="268"/>
      <c r="H2" s="268"/>
      <c r="I2" s="268"/>
      <c r="J2" s="268"/>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row>
    <row r="3" spans="1:99" s="209" customFormat="1">
      <c r="A3" s="260"/>
      <c r="B3" s="260" t="s">
        <v>413</v>
      </c>
      <c r="C3" s="260" t="s">
        <v>412</v>
      </c>
      <c r="D3" s="260" t="s">
        <v>411</v>
      </c>
      <c r="E3" s="260" t="s">
        <v>410</v>
      </c>
      <c r="F3" s="260" t="s">
        <v>409</v>
      </c>
      <c r="G3" s="260" t="s">
        <v>408</v>
      </c>
      <c r="H3" s="260" t="s">
        <v>407</v>
      </c>
      <c r="I3" s="260" t="s">
        <v>406</v>
      </c>
      <c r="J3" s="260" t="s">
        <v>401</v>
      </c>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row>
    <row r="4" spans="1:99" s="209" customFormat="1">
      <c r="A4" s="202"/>
      <c r="B4" s="202"/>
      <c r="C4" s="202"/>
      <c r="D4" s="202"/>
      <c r="E4" s="202"/>
      <c r="F4" s="202"/>
      <c r="G4" s="202"/>
      <c r="H4" s="203"/>
      <c r="I4" s="203"/>
      <c r="J4" s="203"/>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196"/>
      <c r="CO4" s="196"/>
      <c r="CP4" s="196"/>
      <c r="CQ4" s="196"/>
      <c r="CR4" s="196"/>
      <c r="CS4" s="196"/>
      <c r="CT4" s="196"/>
      <c r="CU4" s="196"/>
    </row>
    <row r="5" spans="1:99" s="209" customFormat="1" ht="15.5">
      <c r="A5" s="282" t="s">
        <v>435</v>
      </c>
      <c r="B5" s="282"/>
      <c r="C5" s="282"/>
      <c r="D5" s="282"/>
      <c r="E5" s="282"/>
      <c r="F5" s="282"/>
      <c r="G5" s="282"/>
      <c r="H5" s="203"/>
      <c r="I5" s="203"/>
      <c r="J5" s="203"/>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196"/>
      <c r="CI5" s="196"/>
      <c r="CJ5" s="196"/>
      <c r="CK5" s="196"/>
      <c r="CL5" s="196"/>
      <c r="CM5" s="196"/>
      <c r="CN5" s="196"/>
      <c r="CO5" s="196"/>
      <c r="CP5" s="196"/>
      <c r="CQ5" s="196"/>
      <c r="CR5" s="196"/>
      <c r="CS5" s="196"/>
      <c r="CT5" s="196"/>
      <c r="CU5" s="196"/>
    </row>
    <row r="6" spans="1:99" s="209" customFormat="1" ht="6" customHeight="1">
      <c r="H6" s="221"/>
      <c r="I6" s="247"/>
      <c r="J6" s="247"/>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row>
    <row r="7" spans="1:99" s="209" customFormat="1">
      <c r="A7" s="206" t="s">
        <v>0</v>
      </c>
      <c r="B7" s="250">
        <v>264</v>
      </c>
      <c r="C7" s="224">
        <v>283</v>
      </c>
      <c r="D7" s="224">
        <v>237</v>
      </c>
      <c r="E7" s="224">
        <v>227</v>
      </c>
      <c r="F7" s="224">
        <v>738</v>
      </c>
      <c r="G7" s="224">
        <v>1103</v>
      </c>
      <c r="H7" s="224">
        <v>715</v>
      </c>
      <c r="I7" s="224">
        <v>477</v>
      </c>
      <c r="J7" s="224">
        <v>248</v>
      </c>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row>
    <row r="8" spans="1:99" s="209" customFormat="1">
      <c r="A8" s="206" t="s">
        <v>307</v>
      </c>
      <c r="B8" s="250">
        <v>1213</v>
      </c>
      <c r="C8" s="224">
        <v>1259</v>
      </c>
      <c r="D8" s="224">
        <v>1460</v>
      </c>
      <c r="E8" s="224">
        <v>1562</v>
      </c>
      <c r="F8" s="224">
        <v>1325</v>
      </c>
      <c r="G8" s="224">
        <v>1434</v>
      </c>
      <c r="H8" s="224">
        <v>1488</v>
      </c>
      <c r="I8" s="224">
        <v>1521</v>
      </c>
      <c r="J8" s="224">
        <v>1699</v>
      </c>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row>
    <row r="9" spans="1:99" s="209" customFormat="1">
      <c r="A9" s="206" t="s">
        <v>427</v>
      </c>
      <c r="B9" s="250">
        <v>0</v>
      </c>
      <c r="C9" s="224">
        <v>0</v>
      </c>
      <c r="D9" s="224">
        <v>0</v>
      </c>
      <c r="E9" s="224">
        <v>0</v>
      </c>
      <c r="F9" s="224">
        <v>0</v>
      </c>
      <c r="G9" s="224">
        <v>0</v>
      </c>
      <c r="H9" s="224">
        <v>0</v>
      </c>
      <c r="I9" s="224">
        <v>0</v>
      </c>
      <c r="J9" s="224">
        <v>0</v>
      </c>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row>
    <row r="10" spans="1:99" s="209" customFormat="1">
      <c r="A10" s="206" t="s">
        <v>436</v>
      </c>
      <c r="B10" s="250">
        <v>55</v>
      </c>
      <c r="C10" s="224">
        <v>-11</v>
      </c>
      <c r="D10" s="224">
        <v>11</v>
      </c>
      <c r="E10" s="224">
        <v>19</v>
      </c>
      <c r="F10" s="224">
        <v>66</v>
      </c>
      <c r="G10" s="224">
        <v>-8</v>
      </c>
      <c r="H10" s="224">
        <v>-67</v>
      </c>
      <c r="I10" s="224">
        <v>-35</v>
      </c>
      <c r="J10" s="224">
        <v>104</v>
      </c>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196"/>
      <c r="CI10" s="196"/>
      <c r="CJ10" s="196"/>
      <c r="CK10" s="196"/>
      <c r="CL10" s="196"/>
      <c r="CM10" s="196"/>
      <c r="CN10" s="196"/>
      <c r="CO10" s="196"/>
      <c r="CP10" s="196"/>
      <c r="CQ10" s="196"/>
      <c r="CR10" s="196"/>
      <c r="CS10" s="196"/>
      <c r="CT10" s="196"/>
      <c r="CU10" s="196"/>
    </row>
    <row r="11" spans="1:99" s="209" customFormat="1">
      <c r="A11" s="206" t="s">
        <v>10</v>
      </c>
      <c r="B11" s="250">
        <v>1</v>
      </c>
      <c r="C11" s="224">
        <v>1</v>
      </c>
      <c r="D11" s="224">
        <v>2</v>
      </c>
      <c r="E11" s="224">
        <v>2</v>
      </c>
      <c r="F11" s="224">
        <v>11</v>
      </c>
      <c r="G11" s="224">
        <v>0</v>
      </c>
      <c r="H11" s="224">
        <v>0</v>
      </c>
      <c r="I11" s="224">
        <v>0</v>
      </c>
      <c r="J11" s="224">
        <v>1</v>
      </c>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row>
    <row r="12" spans="1:99" s="209" customFormat="1">
      <c r="A12" s="204" t="s">
        <v>437</v>
      </c>
      <c r="B12" s="228">
        <v>1533</v>
      </c>
      <c r="C12" s="228">
        <v>1532</v>
      </c>
      <c r="D12" s="228">
        <v>1710</v>
      </c>
      <c r="E12" s="228">
        <v>1810</v>
      </c>
      <c r="F12" s="228">
        <v>2140</v>
      </c>
      <c r="G12" s="228">
        <v>2529</v>
      </c>
      <c r="H12" s="228">
        <v>2136</v>
      </c>
      <c r="I12" s="228">
        <v>1963</v>
      </c>
      <c r="J12" s="228">
        <v>2052</v>
      </c>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196"/>
    </row>
    <row r="13" spans="1:99" s="209" customFormat="1">
      <c r="A13" s="206" t="s">
        <v>275</v>
      </c>
      <c r="B13" s="250">
        <v>-930</v>
      </c>
      <c r="C13" s="224">
        <v>-543</v>
      </c>
      <c r="D13" s="224">
        <v>-646</v>
      </c>
      <c r="E13" s="224">
        <v>-595</v>
      </c>
      <c r="F13" s="224">
        <v>-792</v>
      </c>
      <c r="G13" s="224">
        <v>-433</v>
      </c>
      <c r="H13" s="224">
        <v>-544</v>
      </c>
      <c r="I13" s="224">
        <v>-513</v>
      </c>
      <c r="J13" s="224">
        <v>-404</v>
      </c>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196"/>
      <c r="CI13" s="196"/>
      <c r="CJ13" s="196"/>
      <c r="CK13" s="196"/>
      <c r="CL13" s="196"/>
      <c r="CM13" s="196"/>
      <c r="CN13" s="196"/>
      <c r="CO13" s="196"/>
      <c r="CP13" s="196"/>
      <c r="CQ13" s="196"/>
      <c r="CR13" s="196"/>
      <c r="CS13" s="196"/>
      <c r="CT13" s="196"/>
      <c r="CU13" s="196"/>
    </row>
    <row r="14" spans="1:99" s="209" customFormat="1">
      <c r="A14" s="206" t="s">
        <v>438</v>
      </c>
      <c r="B14" s="250">
        <v>-720</v>
      </c>
      <c r="C14" s="224">
        <v>-507</v>
      </c>
      <c r="D14" s="224">
        <v>-536</v>
      </c>
      <c r="E14" s="224">
        <v>-589</v>
      </c>
      <c r="F14" s="224">
        <v>-584</v>
      </c>
      <c r="G14" s="224">
        <v>-442</v>
      </c>
      <c r="H14" s="224">
        <v>-492</v>
      </c>
      <c r="I14" s="224">
        <v>-483</v>
      </c>
      <c r="J14" s="224">
        <v>-435</v>
      </c>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196"/>
      <c r="CI14" s="196"/>
      <c r="CJ14" s="196"/>
      <c r="CK14" s="196"/>
      <c r="CL14" s="196"/>
      <c r="CM14" s="196"/>
      <c r="CN14" s="196"/>
      <c r="CO14" s="196"/>
      <c r="CP14" s="196"/>
      <c r="CQ14" s="196"/>
      <c r="CR14" s="196"/>
      <c r="CS14" s="196"/>
      <c r="CT14" s="196"/>
      <c r="CU14" s="196"/>
    </row>
    <row r="15" spans="1:99" s="209" customFormat="1">
      <c r="A15" s="206" t="s">
        <v>439</v>
      </c>
      <c r="B15" s="250">
        <v>-9</v>
      </c>
      <c r="C15" s="224">
        <v>-11</v>
      </c>
      <c r="D15" s="224">
        <v>-13</v>
      </c>
      <c r="E15" s="224">
        <v>-11</v>
      </c>
      <c r="F15" s="224">
        <v>-17</v>
      </c>
      <c r="G15" s="224">
        <v>-16</v>
      </c>
      <c r="H15" s="224">
        <v>-18</v>
      </c>
      <c r="I15" s="224">
        <v>-16</v>
      </c>
      <c r="J15" s="224">
        <v>-23</v>
      </c>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c r="CK15" s="196"/>
      <c r="CL15" s="196"/>
      <c r="CM15" s="196"/>
      <c r="CN15" s="196"/>
      <c r="CO15" s="196"/>
      <c r="CP15" s="196"/>
      <c r="CQ15" s="196"/>
      <c r="CR15" s="196"/>
      <c r="CS15" s="196"/>
      <c r="CT15" s="196"/>
      <c r="CU15" s="196"/>
    </row>
    <row r="16" spans="1:99" s="209" customFormat="1">
      <c r="A16" s="206" t="s">
        <v>310</v>
      </c>
      <c r="B16" s="250">
        <v>0</v>
      </c>
      <c r="C16" s="224">
        <v>0</v>
      </c>
      <c r="D16" s="224">
        <v>-11</v>
      </c>
      <c r="E16" s="224">
        <v>-2</v>
      </c>
      <c r="F16" s="224">
        <v>1</v>
      </c>
      <c r="G16" s="224">
        <v>-1</v>
      </c>
      <c r="H16" s="224">
        <v>1</v>
      </c>
      <c r="I16" s="224">
        <v>-1</v>
      </c>
      <c r="J16" s="224">
        <v>1</v>
      </c>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196"/>
      <c r="CI16" s="196"/>
      <c r="CJ16" s="196"/>
      <c r="CK16" s="196"/>
      <c r="CL16" s="196"/>
      <c r="CM16" s="196"/>
      <c r="CN16" s="196"/>
      <c r="CO16" s="196"/>
      <c r="CP16" s="196"/>
      <c r="CQ16" s="196"/>
      <c r="CR16" s="196"/>
      <c r="CS16" s="196"/>
      <c r="CT16" s="196"/>
      <c r="CU16" s="196"/>
    </row>
    <row r="17" spans="1:99" s="209" customFormat="1">
      <c r="A17" s="204" t="s">
        <v>390</v>
      </c>
      <c r="B17" s="228">
        <v>-126</v>
      </c>
      <c r="C17" s="228">
        <v>471</v>
      </c>
      <c r="D17" s="228">
        <v>504</v>
      </c>
      <c r="E17" s="228">
        <v>613</v>
      </c>
      <c r="F17" s="228">
        <v>748</v>
      </c>
      <c r="G17" s="228">
        <v>1637</v>
      </c>
      <c r="H17" s="228">
        <v>1083</v>
      </c>
      <c r="I17" s="228">
        <v>950</v>
      </c>
      <c r="J17" s="228">
        <v>1191</v>
      </c>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196"/>
      <c r="CI17" s="196"/>
      <c r="CJ17" s="196"/>
      <c r="CK17" s="196"/>
      <c r="CL17" s="196"/>
      <c r="CM17" s="196"/>
      <c r="CN17" s="196"/>
      <c r="CO17" s="196"/>
      <c r="CP17" s="196"/>
      <c r="CQ17" s="196"/>
      <c r="CR17" s="196"/>
      <c r="CS17" s="196"/>
      <c r="CT17" s="196"/>
      <c r="CU17" s="196"/>
    </row>
    <row r="18" spans="1:99" s="209" customFormat="1" ht="4.9000000000000004" customHeight="1">
      <c r="A18" s="204"/>
      <c r="B18" s="204"/>
      <c r="C18" s="224"/>
      <c r="D18" s="224"/>
      <c r="E18" s="224"/>
      <c r="F18" s="224"/>
      <c r="G18" s="224"/>
      <c r="H18" s="224"/>
      <c r="I18" s="224">
        <v>0</v>
      </c>
      <c r="J18" s="224"/>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6"/>
      <c r="CJ18" s="196"/>
      <c r="CK18" s="196"/>
      <c r="CL18" s="196"/>
      <c r="CM18" s="196"/>
      <c r="CN18" s="196"/>
      <c r="CO18" s="196"/>
      <c r="CP18" s="196"/>
      <c r="CQ18" s="196"/>
      <c r="CR18" s="196"/>
      <c r="CS18" s="196"/>
      <c r="CT18" s="196"/>
      <c r="CU18" s="196"/>
    </row>
    <row r="19" spans="1:99" s="209" customFormat="1">
      <c r="A19" s="204" t="s">
        <v>15</v>
      </c>
      <c r="B19" s="224">
        <v>96319</v>
      </c>
      <c r="C19" s="224">
        <v>100054</v>
      </c>
      <c r="D19" s="224">
        <v>99343</v>
      </c>
      <c r="E19" s="224">
        <v>102264</v>
      </c>
      <c r="F19" s="224">
        <v>87985</v>
      </c>
      <c r="G19" s="224">
        <v>91257</v>
      </c>
      <c r="H19" s="224">
        <v>88234</v>
      </c>
      <c r="I19" s="224">
        <v>80834</v>
      </c>
      <c r="J19" s="224">
        <v>80834</v>
      </c>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6"/>
      <c r="CJ19" s="196"/>
      <c r="CK19" s="196"/>
      <c r="CL19" s="196"/>
      <c r="CM19" s="196"/>
      <c r="CN19" s="196"/>
      <c r="CO19" s="196"/>
      <c r="CP19" s="196"/>
      <c r="CQ19" s="196"/>
      <c r="CR19" s="196"/>
      <c r="CS19" s="196"/>
      <c r="CT19" s="196"/>
      <c r="CU19" s="196"/>
    </row>
    <row r="20" spans="1:99" s="209" customFormat="1">
      <c r="A20" s="204" t="s">
        <v>355</v>
      </c>
      <c r="B20" s="228">
        <v>87502</v>
      </c>
      <c r="C20" s="228">
        <v>91737</v>
      </c>
      <c r="D20" s="228">
        <v>91007</v>
      </c>
      <c r="E20" s="228">
        <v>93034</v>
      </c>
      <c r="F20" s="228">
        <v>79038</v>
      </c>
      <c r="G20" s="228">
        <v>83002</v>
      </c>
      <c r="H20" s="228">
        <v>80791</v>
      </c>
      <c r="I20" s="228">
        <v>73121</v>
      </c>
      <c r="J20" s="228">
        <v>73121</v>
      </c>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6"/>
      <c r="AP20" s="196"/>
      <c r="AQ20" s="196"/>
      <c r="AR20" s="196"/>
      <c r="AS20" s="196"/>
      <c r="AT20" s="196"/>
      <c r="AU20" s="196"/>
      <c r="AV20" s="196"/>
      <c r="AW20" s="196"/>
      <c r="AX20" s="196"/>
      <c r="AY20" s="196"/>
      <c r="AZ20" s="196"/>
      <c r="BA20" s="196"/>
      <c r="BB20" s="196"/>
      <c r="BC20" s="196"/>
      <c r="BD20" s="196"/>
      <c r="BE20" s="196"/>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196"/>
      <c r="CO20" s="196"/>
      <c r="CP20" s="196"/>
      <c r="CQ20" s="196"/>
      <c r="CR20" s="196"/>
      <c r="CS20" s="196"/>
      <c r="CT20" s="196"/>
      <c r="CU20" s="196"/>
    </row>
    <row r="21" spans="1:99" s="209" customFormat="1">
      <c r="A21" s="204" t="s">
        <v>440</v>
      </c>
      <c r="B21" s="228">
        <v>8817</v>
      </c>
      <c r="C21" s="228">
        <v>8317</v>
      </c>
      <c r="D21" s="228">
        <v>8336</v>
      </c>
      <c r="E21" s="228">
        <v>9230</v>
      </c>
      <c r="F21" s="228">
        <v>8947</v>
      </c>
      <c r="G21" s="228">
        <v>8255</v>
      </c>
      <c r="H21" s="228">
        <v>7443</v>
      </c>
      <c r="I21" s="228">
        <v>7713</v>
      </c>
      <c r="J21" s="228">
        <v>7713</v>
      </c>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6"/>
      <c r="BA21" s="196"/>
      <c r="BB21" s="196"/>
      <c r="BC21" s="196"/>
      <c r="BD21" s="196"/>
      <c r="BE21" s="196"/>
      <c r="BF21" s="196"/>
      <c r="BG21" s="196"/>
      <c r="BH21" s="196"/>
      <c r="BI21" s="196"/>
      <c r="BJ21" s="196"/>
      <c r="BK21" s="196"/>
      <c r="BL21" s="196"/>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6"/>
      <c r="CJ21" s="196"/>
      <c r="CK21" s="196"/>
      <c r="CL21" s="196"/>
      <c r="CM21" s="196"/>
      <c r="CN21" s="196"/>
      <c r="CO21" s="196"/>
      <c r="CP21" s="196"/>
      <c r="CQ21" s="196"/>
      <c r="CR21" s="196"/>
      <c r="CS21" s="196"/>
      <c r="CT21" s="196"/>
      <c r="CU21" s="196"/>
    </row>
    <row r="22" spans="1:99" s="209" customFormat="1" ht="1.5" customHeight="1">
      <c r="A22" s="204"/>
      <c r="B22" s="228"/>
      <c r="C22" s="228">
        <v>0</v>
      </c>
      <c r="D22" s="228"/>
      <c r="E22" s="228">
        <v>0</v>
      </c>
      <c r="F22" s="228"/>
      <c r="G22" s="228"/>
      <c r="H22" s="228"/>
      <c r="I22" s="228"/>
      <c r="J22" s="228"/>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6"/>
      <c r="CJ22" s="196"/>
      <c r="CK22" s="196"/>
      <c r="CL22" s="196"/>
      <c r="CM22" s="196"/>
      <c r="CN22" s="196"/>
      <c r="CO22" s="196"/>
      <c r="CP22" s="196"/>
      <c r="CQ22" s="196"/>
      <c r="CR22" s="196"/>
      <c r="CS22" s="196"/>
      <c r="CT22" s="196"/>
      <c r="CU22" s="196"/>
    </row>
    <row r="23" spans="1:99" s="209" customFormat="1">
      <c r="A23" s="218"/>
      <c r="B23" s="224"/>
      <c r="C23" s="224"/>
      <c r="D23" s="224"/>
      <c r="E23" s="224"/>
      <c r="F23" s="224"/>
      <c r="G23" s="224"/>
      <c r="H23" s="224"/>
      <c r="I23" s="224"/>
      <c r="J23" s="224"/>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6"/>
      <c r="CJ23" s="196"/>
      <c r="CK23" s="196"/>
      <c r="CL23" s="196"/>
      <c r="CM23" s="196"/>
      <c r="CN23" s="196"/>
      <c r="CO23" s="196"/>
      <c r="CP23" s="196"/>
      <c r="CQ23" s="196"/>
      <c r="CR23" s="196"/>
      <c r="CS23" s="196"/>
      <c r="CT23" s="196"/>
      <c r="CU23" s="196"/>
    </row>
    <row r="24" spans="1:99" s="209" customFormat="1" ht="15.5">
      <c r="A24" s="282" t="s">
        <v>441</v>
      </c>
      <c r="B24" s="282"/>
      <c r="C24" s="203"/>
      <c r="D24" s="203"/>
      <c r="E24" s="203"/>
      <c r="F24" s="203"/>
      <c r="G24" s="203"/>
      <c r="H24" s="203"/>
      <c r="I24" s="203"/>
      <c r="J24" s="203"/>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6"/>
      <c r="CJ24" s="196"/>
      <c r="CK24" s="196"/>
      <c r="CL24" s="196"/>
      <c r="CM24" s="196"/>
      <c r="CN24" s="196"/>
      <c r="CO24" s="196"/>
      <c r="CP24" s="196"/>
      <c r="CQ24" s="196"/>
      <c r="CR24" s="196"/>
      <c r="CS24" s="196"/>
      <c r="CT24" s="196"/>
      <c r="CU24" s="196"/>
    </row>
    <row r="25" spans="1:99" s="209" customFormat="1" ht="6" customHeight="1">
      <c r="C25" s="221"/>
      <c r="D25" s="221"/>
      <c r="E25" s="221"/>
      <c r="F25" s="221"/>
      <c r="G25" s="221"/>
      <c r="H25" s="221"/>
      <c r="I25" s="221"/>
      <c r="J25" s="221"/>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6"/>
      <c r="CJ25" s="196"/>
      <c r="CK25" s="196"/>
      <c r="CL25" s="196"/>
      <c r="CM25" s="196"/>
      <c r="CN25" s="196"/>
      <c r="CO25" s="196"/>
      <c r="CP25" s="196"/>
      <c r="CQ25" s="196"/>
      <c r="CR25" s="196"/>
      <c r="CS25" s="196"/>
      <c r="CT25" s="196"/>
      <c r="CU25" s="196"/>
    </row>
    <row r="26" spans="1:99" s="209" customFormat="1">
      <c r="A26" s="206" t="s">
        <v>0</v>
      </c>
      <c r="B26" s="224">
        <v>5682</v>
      </c>
      <c r="C26" s="224">
        <v>5271</v>
      </c>
      <c r="D26" s="224">
        <v>5074.7</v>
      </c>
      <c r="E26" s="224">
        <v>4961.3</v>
      </c>
      <c r="F26" s="224">
        <v>5694</v>
      </c>
      <c r="G26" s="224">
        <v>5543</v>
      </c>
      <c r="H26" s="224">
        <v>4443</v>
      </c>
      <c r="I26" s="224">
        <v>4406</v>
      </c>
      <c r="J26" s="224">
        <v>2758</v>
      </c>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row>
    <row r="27" spans="1:99" s="209" customFormat="1">
      <c r="A27" s="206" t="s">
        <v>307</v>
      </c>
      <c r="B27" s="224">
        <v>1208</v>
      </c>
      <c r="C27" s="224">
        <v>941</v>
      </c>
      <c r="D27" s="224">
        <v>1245</v>
      </c>
      <c r="E27" s="224">
        <v>1512</v>
      </c>
      <c r="F27" s="224">
        <v>1247</v>
      </c>
      <c r="G27" s="224">
        <v>882</v>
      </c>
      <c r="H27" s="224">
        <v>2162</v>
      </c>
      <c r="I27" s="224">
        <v>1159</v>
      </c>
      <c r="J27" s="224">
        <v>1363</v>
      </c>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6"/>
      <c r="AT27" s="196"/>
      <c r="AU27" s="196"/>
      <c r="AV27" s="196"/>
      <c r="AW27" s="196"/>
      <c r="AX27" s="196"/>
      <c r="AY27" s="196"/>
      <c r="AZ27" s="196"/>
      <c r="BA27" s="196"/>
      <c r="BB27" s="196"/>
      <c r="BC27" s="196"/>
      <c r="BD27" s="196"/>
      <c r="BE27" s="196"/>
      <c r="BF27" s="196"/>
      <c r="BG27" s="196"/>
      <c r="BH27" s="196"/>
      <c r="BI27" s="196"/>
      <c r="BJ27" s="196"/>
      <c r="BK27" s="196"/>
      <c r="BL27" s="196"/>
      <c r="BM27" s="196"/>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6"/>
      <c r="CJ27" s="196"/>
      <c r="CK27" s="196"/>
      <c r="CL27" s="196"/>
      <c r="CM27" s="196"/>
      <c r="CN27" s="196"/>
      <c r="CO27" s="196"/>
      <c r="CP27" s="196"/>
      <c r="CQ27" s="196"/>
      <c r="CR27" s="196"/>
      <c r="CS27" s="196"/>
      <c r="CT27" s="196"/>
      <c r="CU27" s="196"/>
    </row>
    <row r="28" spans="1:99" s="209" customFormat="1">
      <c r="A28" s="206" t="s">
        <v>427</v>
      </c>
      <c r="B28" s="224">
        <v>-246</v>
      </c>
      <c r="C28" s="224">
        <v>46</v>
      </c>
      <c r="D28" s="224">
        <v>-151</v>
      </c>
      <c r="E28" s="224">
        <v>-157</v>
      </c>
      <c r="F28" s="224">
        <v>-341</v>
      </c>
      <c r="G28" s="224">
        <v>-167</v>
      </c>
      <c r="H28" s="224">
        <v>94</v>
      </c>
      <c r="I28" s="224">
        <v>-225</v>
      </c>
      <c r="J28" s="224"/>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c r="AK28" s="196"/>
      <c r="AL28" s="196"/>
      <c r="AM28" s="196"/>
      <c r="AN28" s="196"/>
      <c r="AO28" s="196"/>
      <c r="AP28" s="196"/>
      <c r="AQ28" s="196"/>
      <c r="AR28" s="196"/>
      <c r="AS28" s="196"/>
      <c r="AT28" s="196"/>
      <c r="AU28" s="196"/>
      <c r="AV28" s="196"/>
      <c r="AW28" s="196"/>
      <c r="AX28" s="196"/>
      <c r="AY28" s="196"/>
      <c r="AZ28" s="196"/>
      <c r="BA28" s="196"/>
      <c r="BB28" s="196"/>
      <c r="BC28" s="196"/>
      <c r="BD28" s="196"/>
      <c r="BE28" s="196"/>
      <c r="BF28" s="196"/>
      <c r="BG28" s="196"/>
      <c r="BH28" s="196"/>
      <c r="BI28" s="196"/>
      <c r="BJ28" s="196"/>
      <c r="BK28" s="196"/>
      <c r="BL28" s="196"/>
      <c r="BM28" s="196"/>
      <c r="BN28" s="196"/>
      <c r="BO28" s="196"/>
      <c r="BP28" s="196"/>
      <c r="BQ28" s="196"/>
      <c r="BR28" s="196"/>
      <c r="BS28" s="196"/>
      <c r="BT28" s="196"/>
      <c r="BU28" s="196"/>
      <c r="BV28" s="196"/>
      <c r="BW28" s="196"/>
      <c r="BX28" s="196"/>
      <c r="BY28" s="196"/>
      <c r="BZ28" s="196"/>
      <c r="CA28" s="196"/>
      <c r="CB28" s="196"/>
      <c r="CC28" s="196"/>
      <c r="CD28" s="196"/>
      <c r="CE28" s="196"/>
      <c r="CF28" s="196"/>
      <c r="CG28" s="196"/>
      <c r="CH28" s="196"/>
      <c r="CI28" s="196"/>
      <c r="CJ28" s="196"/>
      <c r="CK28" s="196"/>
      <c r="CL28" s="196"/>
      <c r="CM28" s="196"/>
      <c r="CN28" s="196"/>
      <c r="CO28" s="196"/>
      <c r="CP28" s="196"/>
      <c r="CQ28" s="196"/>
      <c r="CR28" s="196"/>
      <c r="CS28" s="196"/>
      <c r="CT28" s="196"/>
      <c r="CU28" s="196"/>
    </row>
    <row r="29" spans="1:99" s="209" customFormat="1">
      <c r="A29" s="206" t="s">
        <v>376</v>
      </c>
      <c r="B29" s="224">
        <v>0</v>
      </c>
      <c r="C29" s="224"/>
      <c r="D29" s="224"/>
      <c r="E29" s="224"/>
      <c r="F29" s="224">
        <v>0</v>
      </c>
      <c r="G29" s="224"/>
      <c r="H29" s="224"/>
      <c r="I29" s="224"/>
      <c r="J29" s="224">
        <v>0</v>
      </c>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6"/>
      <c r="CF29" s="196"/>
      <c r="CG29" s="196"/>
      <c r="CH29" s="196"/>
      <c r="CI29" s="196"/>
      <c r="CJ29" s="196"/>
      <c r="CK29" s="196"/>
      <c r="CL29" s="196"/>
      <c r="CM29" s="196"/>
      <c r="CN29" s="196"/>
      <c r="CO29" s="196"/>
      <c r="CP29" s="196"/>
      <c r="CQ29" s="196"/>
      <c r="CR29" s="196"/>
      <c r="CS29" s="196"/>
      <c r="CT29" s="196"/>
      <c r="CU29" s="196"/>
    </row>
    <row r="30" spans="1:99" s="209" customFormat="1">
      <c r="A30" s="206" t="s">
        <v>436</v>
      </c>
      <c r="B30" s="224">
        <v>442</v>
      </c>
      <c r="C30" s="224">
        <v>167</v>
      </c>
      <c r="D30" s="224">
        <v>-87.6</v>
      </c>
      <c r="E30" s="224">
        <v>165.6</v>
      </c>
      <c r="F30" s="224">
        <v>-25</v>
      </c>
      <c r="G30" s="224">
        <v>-162</v>
      </c>
      <c r="H30" s="224">
        <v>-115</v>
      </c>
      <c r="I30" s="224">
        <v>132</v>
      </c>
      <c r="J30" s="224">
        <v>460</v>
      </c>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6"/>
      <c r="CA30" s="196"/>
      <c r="CB30" s="196"/>
      <c r="CC30" s="196"/>
      <c r="CD30" s="196"/>
      <c r="CE30" s="196"/>
      <c r="CF30" s="196"/>
      <c r="CG30" s="196"/>
      <c r="CH30" s="196"/>
      <c r="CI30" s="196"/>
      <c r="CJ30" s="196"/>
      <c r="CK30" s="196"/>
      <c r="CL30" s="196"/>
      <c r="CM30" s="196"/>
      <c r="CN30" s="196"/>
      <c r="CO30" s="196"/>
      <c r="CP30" s="196"/>
      <c r="CQ30" s="196"/>
      <c r="CR30" s="196"/>
      <c r="CS30" s="196"/>
      <c r="CT30" s="196"/>
      <c r="CU30" s="196"/>
    </row>
    <row r="31" spans="1:99" s="209" customFormat="1">
      <c r="A31" s="206" t="s">
        <v>442</v>
      </c>
      <c r="B31" s="224">
        <v>-1</v>
      </c>
      <c r="C31" s="224">
        <v>0</v>
      </c>
      <c r="D31" s="224">
        <v>3</v>
      </c>
      <c r="E31" s="224">
        <v>-9</v>
      </c>
      <c r="F31" s="224">
        <v>2</v>
      </c>
      <c r="G31" s="224">
        <v>-2</v>
      </c>
      <c r="H31" s="224">
        <v>114</v>
      </c>
      <c r="I31" s="224">
        <v>-4</v>
      </c>
      <c r="J31" s="224">
        <v>21</v>
      </c>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c r="BS31" s="196"/>
      <c r="BT31" s="196"/>
      <c r="BU31" s="196"/>
      <c r="BV31" s="196"/>
      <c r="BW31" s="196"/>
      <c r="BX31" s="196"/>
      <c r="BY31" s="196"/>
      <c r="BZ31" s="196"/>
      <c r="CA31" s="196"/>
      <c r="CB31" s="196"/>
      <c r="CC31" s="196"/>
      <c r="CD31" s="196"/>
      <c r="CE31" s="196"/>
      <c r="CF31" s="196"/>
      <c r="CG31" s="196"/>
      <c r="CH31" s="196"/>
      <c r="CI31" s="196"/>
      <c r="CJ31" s="196"/>
      <c r="CK31" s="196"/>
      <c r="CL31" s="196"/>
      <c r="CM31" s="196"/>
      <c r="CN31" s="196"/>
      <c r="CO31" s="196"/>
      <c r="CP31" s="196"/>
      <c r="CQ31" s="196"/>
      <c r="CR31" s="196"/>
      <c r="CS31" s="196"/>
      <c r="CT31" s="196"/>
      <c r="CU31" s="196"/>
    </row>
    <row r="32" spans="1:99" s="209" customFormat="1">
      <c r="A32" s="204" t="s">
        <v>437</v>
      </c>
      <c r="B32" s="228">
        <v>7085</v>
      </c>
      <c r="C32" s="228">
        <v>6425</v>
      </c>
      <c r="D32" s="228">
        <v>6084.0999999999995</v>
      </c>
      <c r="E32" s="228">
        <v>6472.9000000000005</v>
      </c>
      <c r="F32" s="228">
        <v>6577</v>
      </c>
      <c r="G32" s="228">
        <v>6094</v>
      </c>
      <c r="H32" s="228">
        <v>6698</v>
      </c>
      <c r="I32" s="228">
        <v>5468</v>
      </c>
      <c r="J32" s="228">
        <v>4594</v>
      </c>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6"/>
      <c r="BQ32" s="196"/>
      <c r="BR32" s="196"/>
      <c r="BS32" s="196"/>
      <c r="BT32" s="196"/>
      <c r="BU32" s="196"/>
      <c r="BV32" s="196"/>
      <c r="BW32" s="196"/>
      <c r="BX32" s="196"/>
      <c r="BY32" s="196"/>
      <c r="BZ32" s="196"/>
      <c r="CA32" s="196"/>
      <c r="CB32" s="196"/>
      <c r="CC32" s="196"/>
      <c r="CD32" s="196"/>
      <c r="CE32" s="196"/>
      <c r="CF32" s="196"/>
      <c r="CG32" s="196"/>
      <c r="CH32" s="196"/>
      <c r="CI32" s="196"/>
      <c r="CJ32" s="196"/>
      <c r="CK32" s="196"/>
      <c r="CL32" s="196"/>
      <c r="CM32" s="196"/>
      <c r="CN32" s="196"/>
      <c r="CO32" s="196"/>
      <c r="CP32" s="196"/>
      <c r="CQ32" s="196"/>
      <c r="CR32" s="196"/>
      <c r="CS32" s="196"/>
      <c r="CT32" s="196"/>
      <c r="CU32" s="196"/>
    </row>
    <row r="33" spans="1:99" s="209" customFormat="1">
      <c r="A33" s="206" t="s">
        <v>275</v>
      </c>
      <c r="B33" s="224">
        <v>-523</v>
      </c>
      <c r="C33" s="224">
        <v>-352</v>
      </c>
      <c r="D33" s="224">
        <v>-263.8</v>
      </c>
      <c r="E33" s="224">
        <v>-340.2</v>
      </c>
      <c r="F33" s="224">
        <v>-596</v>
      </c>
      <c r="G33" s="224">
        <v>-288</v>
      </c>
      <c r="H33" s="224">
        <v>-424</v>
      </c>
      <c r="I33" s="224">
        <v>-474</v>
      </c>
      <c r="J33" s="224">
        <v>-328</v>
      </c>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c r="BS33" s="196"/>
      <c r="BT33" s="196"/>
      <c r="BU33" s="196"/>
      <c r="BV33" s="196"/>
      <c r="BW33" s="196"/>
      <c r="BX33" s="196"/>
      <c r="BY33" s="196"/>
      <c r="BZ33" s="196"/>
      <c r="CA33" s="196"/>
      <c r="CB33" s="196"/>
      <c r="CC33" s="196"/>
      <c r="CD33" s="196"/>
      <c r="CE33" s="196"/>
      <c r="CF33" s="196"/>
      <c r="CG33" s="196"/>
      <c r="CH33" s="196"/>
      <c r="CI33" s="196"/>
      <c r="CJ33" s="196"/>
      <c r="CK33" s="196"/>
      <c r="CL33" s="196"/>
      <c r="CM33" s="196"/>
      <c r="CN33" s="196"/>
      <c r="CO33" s="196"/>
      <c r="CP33" s="196"/>
      <c r="CQ33" s="196"/>
      <c r="CR33" s="196"/>
      <c r="CS33" s="196"/>
      <c r="CT33" s="196"/>
      <c r="CU33" s="196"/>
    </row>
    <row r="34" spans="1:99" s="209" customFormat="1">
      <c r="A34" s="206" t="s">
        <v>438</v>
      </c>
      <c r="B34" s="224">
        <v>-1239</v>
      </c>
      <c r="C34" s="224">
        <v>-868</v>
      </c>
      <c r="D34" s="224">
        <v>-993</v>
      </c>
      <c r="E34" s="224">
        <v>-1041</v>
      </c>
      <c r="F34" s="224">
        <v>-1135</v>
      </c>
      <c r="G34" s="224">
        <v>-824</v>
      </c>
      <c r="H34" s="224">
        <v>-1002</v>
      </c>
      <c r="I34" s="224">
        <v>-825</v>
      </c>
      <c r="J34" s="224">
        <v>-709</v>
      </c>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c r="BR34" s="196"/>
      <c r="BS34" s="196"/>
      <c r="BT34" s="196"/>
      <c r="BU34" s="196"/>
      <c r="BV34" s="196"/>
      <c r="BW34" s="196"/>
      <c r="BX34" s="196"/>
      <c r="BY34" s="196"/>
      <c r="BZ34" s="196"/>
      <c r="CA34" s="196"/>
      <c r="CB34" s="196"/>
      <c r="CC34" s="196"/>
      <c r="CD34" s="196"/>
      <c r="CE34" s="196"/>
      <c r="CF34" s="196"/>
      <c r="CG34" s="196"/>
      <c r="CH34" s="196"/>
      <c r="CI34" s="196"/>
      <c r="CJ34" s="196"/>
      <c r="CK34" s="196"/>
      <c r="CL34" s="196"/>
      <c r="CM34" s="196"/>
      <c r="CN34" s="196"/>
      <c r="CO34" s="196"/>
      <c r="CP34" s="196"/>
      <c r="CQ34" s="196"/>
      <c r="CR34" s="196"/>
      <c r="CS34" s="196"/>
      <c r="CT34" s="196"/>
      <c r="CU34" s="196"/>
    </row>
    <row r="35" spans="1:99" s="209" customFormat="1">
      <c r="A35" s="206" t="s">
        <v>439</v>
      </c>
      <c r="B35" s="224">
        <v>-140</v>
      </c>
      <c r="C35" s="224">
        <v>-154</v>
      </c>
      <c r="D35" s="224">
        <v>-146</v>
      </c>
      <c r="E35" s="224">
        <v>-146</v>
      </c>
      <c r="F35" s="224">
        <v>-161</v>
      </c>
      <c r="G35" s="224">
        <v>-143</v>
      </c>
      <c r="H35" s="224">
        <v>-133</v>
      </c>
      <c r="I35" s="224">
        <v>-120</v>
      </c>
      <c r="J35" s="224">
        <v>-103</v>
      </c>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196"/>
      <c r="CR35" s="196"/>
      <c r="CS35" s="196"/>
      <c r="CT35" s="196"/>
      <c r="CU35" s="196"/>
    </row>
    <row r="36" spans="1:99" s="209" customFormat="1">
      <c r="A36" s="206" t="s">
        <v>310</v>
      </c>
      <c r="B36" s="224">
        <v>175</v>
      </c>
      <c r="C36" s="224">
        <v>-901</v>
      </c>
      <c r="D36" s="224">
        <v>-335</v>
      </c>
      <c r="E36" s="224">
        <v>111</v>
      </c>
      <c r="F36" s="224">
        <v>375</v>
      </c>
      <c r="G36" s="224">
        <v>-221</v>
      </c>
      <c r="H36" s="224">
        <v>810</v>
      </c>
      <c r="I36" s="224">
        <v>-418</v>
      </c>
      <c r="J36" s="224">
        <v>551</v>
      </c>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6"/>
      <c r="CA36" s="196"/>
      <c r="CB36" s="196"/>
      <c r="CC36" s="196"/>
      <c r="CD36" s="196"/>
      <c r="CE36" s="196"/>
      <c r="CF36" s="196"/>
      <c r="CG36" s="196"/>
      <c r="CH36" s="196"/>
      <c r="CI36" s="196"/>
      <c r="CJ36" s="196"/>
      <c r="CK36" s="196"/>
      <c r="CL36" s="196"/>
      <c r="CM36" s="196"/>
      <c r="CN36" s="196"/>
      <c r="CO36" s="196"/>
      <c r="CP36" s="196"/>
      <c r="CQ36" s="196"/>
      <c r="CR36" s="196"/>
      <c r="CS36" s="196"/>
      <c r="CT36" s="196"/>
      <c r="CU36" s="196"/>
    </row>
    <row r="37" spans="1:99" s="209" customFormat="1">
      <c r="A37" s="204" t="s">
        <v>443</v>
      </c>
      <c r="B37" s="228">
        <v>5358</v>
      </c>
      <c r="C37" s="228">
        <v>4150</v>
      </c>
      <c r="D37" s="228">
        <v>4346.2999999999993</v>
      </c>
      <c r="E37" s="228">
        <v>5056.7000000000007</v>
      </c>
      <c r="F37" s="228">
        <v>5060</v>
      </c>
      <c r="G37" s="228">
        <v>4618</v>
      </c>
      <c r="H37" s="228">
        <v>5949</v>
      </c>
      <c r="I37" s="228">
        <v>3631</v>
      </c>
      <c r="J37" s="228">
        <v>4005</v>
      </c>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196"/>
      <c r="AT37" s="196"/>
      <c r="AU37" s="196"/>
      <c r="AV37" s="196"/>
      <c r="AW37" s="196"/>
      <c r="AX37" s="196"/>
      <c r="AY37" s="196"/>
      <c r="AZ37" s="196"/>
      <c r="BA37" s="196"/>
      <c r="BB37" s="196"/>
      <c r="BC37" s="196"/>
      <c r="BD37" s="196"/>
      <c r="BE37" s="196"/>
      <c r="BF37" s="196"/>
      <c r="BG37" s="196"/>
      <c r="BH37" s="196"/>
      <c r="BI37" s="196"/>
      <c r="BJ37" s="196"/>
      <c r="BK37" s="196"/>
      <c r="BL37" s="196"/>
      <c r="BM37" s="196"/>
      <c r="BN37" s="196"/>
      <c r="BO37" s="196"/>
      <c r="BP37" s="196"/>
      <c r="BQ37" s="196"/>
      <c r="BR37" s="196"/>
      <c r="BS37" s="196"/>
      <c r="BT37" s="196"/>
      <c r="BU37" s="196"/>
      <c r="BV37" s="196"/>
      <c r="BW37" s="196"/>
      <c r="BX37" s="196"/>
      <c r="BY37" s="196"/>
      <c r="BZ37" s="196"/>
      <c r="CA37" s="196"/>
      <c r="CB37" s="196"/>
      <c r="CC37" s="196"/>
      <c r="CD37" s="196"/>
      <c r="CE37" s="196"/>
      <c r="CF37" s="196"/>
      <c r="CG37" s="196"/>
      <c r="CH37" s="196"/>
      <c r="CI37" s="196"/>
      <c r="CJ37" s="196"/>
      <c r="CK37" s="196"/>
      <c r="CL37" s="196"/>
      <c r="CM37" s="196"/>
      <c r="CN37" s="196"/>
      <c r="CO37" s="196"/>
      <c r="CP37" s="196"/>
      <c r="CQ37" s="196"/>
      <c r="CR37" s="196"/>
      <c r="CS37" s="196"/>
      <c r="CT37" s="196"/>
      <c r="CU37" s="196"/>
    </row>
    <row r="38" spans="1:99" s="209" customFormat="1" ht="4.9000000000000004" customHeight="1">
      <c r="A38" s="218"/>
      <c r="B38" s="224"/>
      <c r="C38" s="224"/>
      <c r="D38" s="224"/>
      <c r="E38" s="224"/>
      <c r="F38" s="224"/>
      <c r="G38" s="224"/>
      <c r="H38" s="224"/>
      <c r="I38" s="224"/>
      <c r="J38" s="224"/>
      <c r="K38" s="196"/>
      <c r="L38" s="196"/>
      <c r="M38" s="196"/>
      <c r="N38" s="196"/>
      <c r="O38" s="196"/>
      <c r="P38" s="196"/>
      <c r="Q38" s="196"/>
      <c r="R38" s="196"/>
      <c r="S38" s="196"/>
      <c r="T38" s="196"/>
      <c r="U38" s="196"/>
      <c r="V38" s="196"/>
      <c r="W38" s="196"/>
      <c r="X38" s="196"/>
      <c r="Y38" s="196"/>
      <c r="Z38" s="196"/>
      <c r="AA38" s="196"/>
      <c r="AB38" s="196"/>
      <c r="AC38" s="196"/>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6"/>
      <c r="CA38" s="196"/>
      <c r="CB38" s="196"/>
      <c r="CC38" s="196"/>
      <c r="CD38" s="196"/>
      <c r="CE38" s="196"/>
      <c r="CF38" s="196"/>
      <c r="CG38" s="196"/>
      <c r="CH38" s="196"/>
      <c r="CI38" s="196"/>
      <c r="CJ38" s="196"/>
      <c r="CK38" s="196"/>
      <c r="CL38" s="196"/>
      <c r="CM38" s="196"/>
      <c r="CN38" s="196"/>
      <c r="CO38" s="196"/>
      <c r="CP38" s="196"/>
      <c r="CQ38" s="196"/>
      <c r="CR38" s="196"/>
      <c r="CS38" s="196"/>
      <c r="CT38" s="196"/>
      <c r="CU38" s="196"/>
    </row>
    <row r="39" spans="1:99" s="209" customFormat="1">
      <c r="A39" s="204" t="s">
        <v>15</v>
      </c>
      <c r="B39" s="224">
        <v>486908</v>
      </c>
      <c r="C39" s="224">
        <v>484780</v>
      </c>
      <c r="D39" s="224">
        <v>486710</v>
      </c>
      <c r="E39" s="224">
        <v>472235</v>
      </c>
      <c r="F39" s="224">
        <v>439461</v>
      </c>
      <c r="G39" s="224">
        <v>427885</v>
      </c>
      <c r="H39" s="224">
        <v>410271</v>
      </c>
      <c r="I39" s="224">
        <v>372152</v>
      </c>
      <c r="J39" s="224">
        <v>372152</v>
      </c>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6"/>
      <c r="AT39" s="196"/>
      <c r="AU39" s="196"/>
      <c r="AV39" s="196"/>
      <c r="AW39" s="196"/>
      <c r="AX39" s="196"/>
      <c r="AY39" s="196"/>
      <c r="AZ39" s="196"/>
      <c r="BA39" s="196"/>
      <c r="BB39" s="196"/>
      <c r="BC39" s="196"/>
      <c r="BD39" s="196"/>
      <c r="BE39" s="196"/>
      <c r="BF39" s="196"/>
      <c r="BG39" s="196"/>
      <c r="BH39" s="196"/>
      <c r="BI39" s="196"/>
      <c r="BJ39" s="196"/>
      <c r="BK39" s="196"/>
      <c r="BL39" s="196"/>
      <c r="BM39" s="196"/>
      <c r="BN39" s="196"/>
      <c r="BO39" s="196"/>
      <c r="BP39" s="196"/>
      <c r="BQ39" s="196"/>
      <c r="BR39" s="196"/>
      <c r="BS39" s="196"/>
      <c r="BT39" s="196"/>
      <c r="BU39" s="196"/>
      <c r="BV39" s="196"/>
      <c r="BW39" s="196"/>
      <c r="BX39" s="196"/>
      <c r="BY39" s="196"/>
      <c r="BZ39" s="196"/>
      <c r="CA39" s="196"/>
      <c r="CB39" s="196"/>
      <c r="CC39" s="196"/>
      <c r="CD39" s="196"/>
      <c r="CE39" s="196"/>
      <c r="CF39" s="196"/>
      <c r="CG39" s="196"/>
      <c r="CH39" s="196"/>
      <c r="CI39" s="196"/>
      <c r="CJ39" s="196"/>
      <c r="CK39" s="196"/>
      <c r="CL39" s="196"/>
      <c r="CM39" s="196"/>
      <c r="CN39" s="196"/>
      <c r="CO39" s="196"/>
      <c r="CP39" s="196"/>
      <c r="CQ39" s="196"/>
      <c r="CR39" s="196"/>
      <c r="CS39" s="196"/>
      <c r="CT39" s="196"/>
      <c r="CU39" s="196"/>
    </row>
    <row r="40" spans="1:99" s="209" customFormat="1">
      <c r="A40" s="204" t="s">
        <v>355</v>
      </c>
      <c r="B40" s="228">
        <v>405484</v>
      </c>
      <c r="C40" s="228">
        <v>405093</v>
      </c>
      <c r="D40" s="228">
        <v>403378</v>
      </c>
      <c r="E40" s="228">
        <v>391699</v>
      </c>
      <c r="F40" s="228">
        <v>364637</v>
      </c>
      <c r="G40" s="228">
        <v>354447</v>
      </c>
      <c r="H40" s="228">
        <v>342611</v>
      </c>
      <c r="I40" s="228">
        <v>310867</v>
      </c>
      <c r="J40" s="228">
        <v>310867</v>
      </c>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I40" s="196"/>
      <c r="CJ40" s="196"/>
      <c r="CK40" s="196"/>
      <c r="CL40" s="196"/>
      <c r="CM40" s="196"/>
      <c r="CN40" s="196"/>
      <c r="CO40" s="196"/>
      <c r="CP40" s="196"/>
      <c r="CQ40" s="196"/>
      <c r="CR40" s="196"/>
      <c r="CS40" s="196"/>
      <c r="CT40" s="196"/>
      <c r="CU40" s="196"/>
    </row>
    <row r="41" spans="1:99" s="209" customFormat="1">
      <c r="A41" s="204" t="s">
        <v>440</v>
      </c>
      <c r="B41" s="228">
        <v>81424</v>
      </c>
      <c r="C41" s="228">
        <v>79687</v>
      </c>
      <c r="D41" s="228">
        <v>83332</v>
      </c>
      <c r="E41" s="228">
        <v>80536</v>
      </c>
      <c r="F41" s="228">
        <v>74824</v>
      </c>
      <c r="G41" s="228">
        <v>73437</v>
      </c>
      <c r="H41" s="228">
        <v>67660</v>
      </c>
      <c r="I41" s="228">
        <v>61285</v>
      </c>
      <c r="J41" s="228">
        <v>61285</v>
      </c>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c r="CP41" s="196"/>
      <c r="CQ41" s="196"/>
      <c r="CR41" s="196"/>
      <c r="CS41" s="196"/>
      <c r="CT41" s="196"/>
      <c r="CU41" s="196"/>
    </row>
    <row r="42" spans="1:99" s="209" customFormat="1" ht="8.5" customHeight="1">
      <c r="A42" s="204"/>
      <c r="B42" s="224"/>
      <c r="C42" s="224"/>
      <c r="D42" s="224"/>
      <c r="E42" s="224"/>
      <c r="F42" s="224"/>
      <c r="G42" s="224"/>
      <c r="H42" s="224"/>
      <c r="I42" s="224"/>
      <c r="J42" s="224"/>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row>
    <row r="43" spans="1:99" s="209" customFormat="1" ht="1.1499999999999999" customHeight="1">
      <c r="A43" s="204"/>
      <c r="B43" s="224"/>
      <c r="C43" s="224"/>
      <c r="D43" s="224"/>
      <c r="E43" s="224"/>
      <c r="F43" s="224"/>
      <c r="G43" s="224"/>
      <c r="H43" s="224"/>
      <c r="I43" s="224"/>
      <c r="J43" s="224"/>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row>
    <row r="44" spans="1:99" s="209" customFormat="1">
      <c r="A44" s="283" t="s">
        <v>444</v>
      </c>
      <c r="B44" s="284"/>
      <c r="C44" s="284"/>
      <c r="D44" s="284"/>
      <c r="E44" s="284"/>
      <c r="F44" s="284"/>
      <c r="G44" s="284"/>
      <c r="H44" s="284"/>
      <c r="I44" s="284"/>
      <c r="J44" s="284"/>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row>
    <row r="45" spans="1:99" s="209" customFormat="1" ht="15.5">
      <c r="A45" s="282" t="s">
        <v>445</v>
      </c>
      <c r="B45" s="282"/>
      <c r="C45" s="282"/>
      <c r="D45" s="282"/>
      <c r="E45" s="203"/>
      <c r="F45" s="203"/>
      <c r="G45" s="203"/>
      <c r="H45" s="203"/>
      <c r="I45" s="203"/>
      <c r="J45" s="203"/>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row>
    <row r="46" spans="1:99" s="209" customFormat="1" ht="6" customHeight="1">
      <c r="E46" s="221"/>
      <c r="F46" s="221"/>
      <c r="G46" s="221"/>
      <c r="H46" s="221"/>
      <c r="I46" s="221"/>
      <c r="J46" s="247"/>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c r="CK46" s="196"/>
      <c r="CL46" s="196"/>
      <c r="CM46" s="196"/>
      <c r="CN46" s="196"/>
      <c r="CO46" s="196"/>
      <c r="CP46" s="196"/>
      <c r="CQ46" s="196"/>
      <c r="CR46" s="196"/>
      <c r="CS46" s="196"/>
      <c r="CT46" s="196"/>
      <c r="CU46" s="196"/>
    </row>
    <row r="47" spans="1:99" s="209" customFormat="1">
      <c r="A47" s="206" t="s">
        <v>0</v>
      </c>
      <c r="B47" s="224">
        <v>4808</v>
      </c>
      <c r="C47" s="224">
        <v>4868</v>
      </c>
      <c r="D47" s="224">
        <v>4845.3</v>
      </c>
      <c r="E47" s="224">
        <v>4982.7</v>
      </c>
      <c r="F47" s="224">
        <v>5571</v>
      </c>
      <c r="G47" s="224">
        <v>5085</v>
      </c>
      <c r="H47" s="224">
        <v>4511</v>
      </c>
      <c r="I47" s="224">
        <v>4517</v>
      </c>
      <c r="J47" s="224">
        <v>4079</v>
      </c>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c r="CK47" s="196"/>
      <c r="CL47" s="196"/>
      <c r="CM47" s="196"/>
      <c r="CN47" s="196"/>
      <c r="CO47" s="196"/>
      <c r="CP47" s="196"/>
      <c r="CQ47" s="196"/>
      <c r="CR47" s="196"/>
      <c r="CS47" s="196"/>
      <c r="CT47" s="196"/>
      <c r="CU47" s="196"/>
    </row>
    <row r="48" spans="1:99" s="209" customFormat="1">
      <c r="A48" s="206" t="s">
        <v>307</v>
      </c>
      <c r="B48" s="224">
        <v>1211</v>
      </c>
      <c r="C48" s="224">
        <v>1266</v>
      </c>
      <c r="D48" s="224">
        <v>1123.0999999999999</v>
      </c>
      <c r="E48" s="224">
        <v>1011.9</v>
      </c>
      <c r="F48" s="224">
        <v>1280</v>
      </c>
      <c r="G48" s="224">
        <v>1452</v>
      </c>
      <c r="H48" s="224">
        <v>1095</v>
      </c>
      <c r="I48" s="224">
        <v>1006</v>
      </c>
      <c r="J48" s="224">
        <v>925</v>
      </c>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row>
    <row r="49" spans="1:99" s="209" customFormat="1">
      <c r="A49" s="206" t="s">
        <v>427</v>
      </c>
      <c r="B49" s="224">
        <v>-31.999999999999886</v>
      </c>
      <c r="C49" s="224">
        <v>357</v>
      </c>
      <c r="D49" s="224">
        <v>905.6</v>
      </c>
      <c r="E49" s="224">
        <v>-512.6</v>
      </c>
      <c r="F49" s="224">
        <v>179</v>
      </c>
      <c r="G49" s="224">
        <v>656</v>
      </c>
      <c r="H49" s="224">
        <v>966</v>
      </c>
      <c r="I49" s="224">
        <v>-410</v>
      </c>
      <c r="J49" s="224"/>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c r="CK49" s="196"/>
      <c r="CL49" s="196"/>
      <c r="CM49" s="196"/>
      <c r="CN49" s="196"/>
      <c r="CO49" s="196"/>
      <c r="CP49" s="196"/>
      <c r="CQ49" s="196"/>
      <c r="CR49" s="196"/>
      <c r="CS49" s="196"/>
      <c r="CT49" s="196"/>
      <c r="CU49" s="196"/>
    </row>
    <row r="50" spans="1:99" s="209" customFormat="1">
      <c r="A50" s="206" t="s">
        <v>376</v>
      </c>
      <c r="B50" s="224">
        <v>0</v>
      </c>
      <c r="C50" s="224"/>
      <c r="D50" s="224"/>
      <c r="E50" s="224"/>
      <c r="F50" s="224"/>
      <c r="G50" s="224"/>
      <c r="H50" s="224"/>
      <c r="I50" s="224"/>
      <c r="J50" s="224">
        <v>0</v>
      </c>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c r="CK50" s="196"/>
      <c r="CL50" s="196"/>
      <c r="CM50" s="196"/>
      <c r="CN50" s="196"/>
      <c r="CO50" s="196"/>
      <c r="CP50" s="196"/>
      <c r="CQ50" s="196"/>
      <c r="CR50" s="196"/>
      <c r="CS50" s="196"/>
      <c r="CT50" s="196"/>
      <c r="CU50" s="196"/>
    </row>
    <row r="51" spans="1:99" s="209" customFormat="1">
      <c r="A51" s="206" t="s">
        <v>436</v>
      </c>
      <c r="B51" s="224">
        <v>631</v>
      </c>
      <c r="C51" s="224">
        <v>-94</v>
      </c>
      <c r="D51" s="224">
        <v>-265.7</v>
      </c>
      <c r="E51" s="224">
        <v>511.7</v>
      </c>
      <c r="F51" s="224">
        <v>16</v>
      </c>
      <c r="G51" s="224">
        <v>-511</v>
      </c>
      <c r="H51" s="224">
        <v>-647</v>
      </c>
      <c r="I51" s="224">
        <v>429</v>
      </c>
      <c r="J51" s="224">
        <v>0</v>
      </c>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row>
    <row r="52" spans="1:99" s="209" customFormat="1">
      <c r="A52" s="206" t="s">
        <v>10</v>
      </c>
      <c r="B52" s="224">
        <v>-6</v>
      </c>
      <c r="C52" s="224">
        <v>18</v>
      </c>
      <c r="D52" s="224">
        <v>13.8</v>
      </c>
      <c r="E52" s="224">
        <v>15.2</v>
      </c>
      <c r="F52" s="224">
        <v>52</v>
      </c>
      <c r="G52" s="224">
        <v>29</v>
      </c>
      <c r="H52" s="224">
        <v>12</v>
      </c>
      <c r="I52" s="224">
        <v>33</v>
      </c>
      <c r="J52" s="224">
        <v>204</v>
      </c>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row>
    <row r="53" spans="1:99" s="209" customFormat="1">
      <c r="A53" s="204" t="s">
        <v>437</v>
      </c>
      <c r="B53" s="228">
        <v>6612</v>
      </c>
      <c r="C53" s="228">
        <v>6415</v>
      </c>
      <c r="D53" s="228">
        <v>6622.1</v>
      </c>
      <c r="E53" s="228">
        <v>6008.8999999999987</v>
      </c>
      <c r="F53" s="228">
        <v>7098</v>
      </c>
      <c r="G53" s="228">
        <v>6711</v>
      </c>
      <c r="H53" s="228">
        <v>5937</v>
      </c>
      <c r="I53" s="228">
        <v>5575</v>
      </c>
      <c r="J53" s="228">
        <v>5208</v>
      </c>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row>
    <row r="54" spans="1:99" s="209" customFormat="1">
      <c r="A54" s="206" t="s">
        <v>275</v>
      </c>
      <c r="B54" s="224">
        <v>-1154</v>
      </c>
      <c r="C54" s="224">
        <v>-779</v>
      </c>
      <c r="D54" s="224">
        <v>-925.4</v>
      </c>
      <c r="E54" s="224">
        <v>-900.6</v>
      </c>
      <c r="F54" s="224">
        <v>-1164</v>
      </c>
      <c r="G54" s="224">
        <v>-852</v>
      </c>
      <c r="H54" s="224">
        <v>-722</v>
      </c>
      <c r="I54" s="224">
        <v>-937</v>
      </c>
      <c r="J54" s="224">
        <v>-1315</v>
      </c>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row>
    <row r="55" spans="1:99" s="209" customFormat="1">
      <c r="A55" s="206" t="s">
        <v>438</v>
      </c>
      <c r="B55" s="224">
        <v>-2491</v>
      </c>
      <c r="C55" s="224">
        <v>-1798</v>
      </c>
      <c r="D55" s="224">
        <v>-2048</v>
      </c>
      <c r="E55" s="224">
        <v>-2245</v>
      </c>
      <c r="F55" s="224">
        <v>-2535</v>
      </c>
      <c r="G55" s="224">
        <v>-1763</v>
      </c>
      <c r="H55" s="224">
        <v>-1883</v>
      </c>
      <c r="I55" s="224">
        <v>-1700</v>
      </c>
      <c r="J55" s="224">
        <v>-1911</v>
      </c>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row>
    <row r="56" spans="1:99" s="209" customFormat="1">
      <c r="A56" s="206" t="s">
        <v>439</v>
      </c>
      <c r="B56" s="224">
        <v>-197</v>
      </c>
      <c r="C56" s="224">
        <v>-212</v>
      </c>
      <c r="D56" s="224">
        <v>-205</v>
      </c>
      <c r="E56" s="224">
        <v>-209</v>
      </c>
      <c r="F56" s="224">
        <v>-233</v>
      </c>
      <c r="G56" s="224">
        <v>-205</v>
      </c>
      <c r="H56" s="224">
        <v>-194</v>
      </c>
      <c r="I56" s="224">
        <v>-185</v>
      </c>
      <c r="J56" s="224">
        <v>-172</v>
      </c>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row>
    <row r="57" spans="1:99" s="209" customFormat="1">
      <c r="A57" s="206" t="s">
        <v>310</v>
      </c>
      <c r="B57" s="224">
        <v>-186</v>
      </c>
      <c r="C57" s="224">
        <v>129</v>
      </c>
      <c r="D57" s="224">
        <v>-281</v>
      </c>
      <c r="E57" s="224">
        <v>-188</v>
      </c>
      <c r="F57" s="224">
        <v>-106</v>
      </c>
      <c r="G57" s="224">
        <v>104</v>
      </c>
      <c r="H57" s="224">
        <v>265</v>
      </c>
      <c r="I57" s="224">
        <v>-78</v>
      </c>
      <c r="J57" s="224">
        <v>367</v>
      </c>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row>
    <row r="58" spans="1:99" s="209" customFormat="1">
      <c r="A58" s="204" t="s">
        <v>390</v>
      </c>
      <c r="B58" s="228">
        <v>2584</v>
      </c>
      <c r="C58" s="228">
        <v>3755</v>
      </c>
      <c r="D58" s="228">
        <v>3162.7000000000007</v>
      </c>
      <c r="E58" s="228">
        <v>2466.2999999999984</v>
      </c>
      <c r="F58" s="228">
        <v>3060</v>
      </c>
      <c r="G58" s="228">
        <v>3995</v>
      </c>
      <c r="H58" s="228">
        <v>3403</v>
      </c>
      <c r="I58" s="228">
        <v>2675</v>
      </c>
      <c r="J58" s="228">
        <v>2177</v>
      </c>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row>
    <row r="59" spans="1:99" s="209" customFormat="1" ht="4.9000000000000004" customHeight="1">
      <c r="A59" s="218"/>
      <c r="B59" s="224"/>
      <c r="C59" s="224"/>
      <c r="D59" s="224"/>
      <c r="E59" s="224"/>
      <c r="F59" s="224"/>
      <c r="G59" s="224"/>
      <c r="H59" s="224"/>
      <c r="I59" s="224"/>
      <c r="J59" s="224"/>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row>
    <row r="60" spans="1:99" s="209" customFormat="1">
      <c r="A60" s="204" t="s">
        <v>15</v>
      </c>
      <c r="B60" s="224">
        <v>701794</v>
      </c>
      <c r="C60" s="224">
        <v>692160</v>
      </c>
      <c r="D60" s="224">
        <v>680835</v>
      </c>
      <c r="E60" s="224">
        <v>674966</v>
      </c>
      <c r="F60" s="224">
        <v>647788</v>
      </c>
      <c r="G60" s="224">
        <v>625240</v>
      </c>
      <c r="H60" s="224">
        <v>608236</v>
      </c>
      <c r="I60" s="224">
        <v>574849</v>
      </c>
      <c r="J60" s="224">
        <v>574849</v>
      </c>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row>
    <row r="61" spans="1:99" s="209" customFormat="1">
      <c r="A61" s="204" t="s">
        <v>355</v>
      </c>
      <c r="B61" s="228">
        <v>642302</v>
      </c>
      <c r="C61" s="228">
        <v>635382</v>
      </c>
      <c r="D61" s="228">
        <v>619437</v>
      </c>
      <c r="E61" s="228">
        <v>614219</v>
      </c>
      <c r="F61" s="228">
        <v>589226</v>
      </c>
      <c r="G61" s="228">
        <v>567556</v>
      </c>
      <c r="H61" s="228">
        <v>551047</v>
      </c>
      <c r="I61" s="228">
        <v>527652</v>
      </c>
      <c r="J61" s="228">
        <v>527652</v>
      </c>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row>
    <row r="62" spans="1:99" s="209" customFormat="1">
      <c r="A62" s="204" t="s">
        <v>440</v>
      </c>
      <c r="B62" s="228">
        <v>59492</v>
      </c>
      <c r="C62" s="228">
        <v>56778</v>
      </c>
      <c r="D62" s="228">
        <v>61398</v>
      </c>
      <c r="E62" s="228">
        <v>60747</v>
      </c>
      <c r="F62" s="228">
        <v>58562</v>
      </c>
      <c r="G62" s="228">
        <v>57685</v>
      </c>
      <c r="H62" s="228">
        <v>57189</v>
      </c>
      <c r="I62" s="228">
        <v>47197</v>
      </c>
      <c r="J62" s="228">
        <v>47197</v>
      </c>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row>
    <row r="63" spans="1:99" s="209" customFormat="1" ht="1.5" customHeight="1">
      <c r="A63" s="204"/>
      <c r="B63" s="228"/>
      <c r="C63" s="228"/>
      <c r="D63" s="228"/>
      <c r="E63" s="228"/>
      <c r="F63" s="228"/>
      <c r="G63" s="228"/>
      <c r="H63" s="228"/>
      <c r="I63" s="228"/>
      <c r="J63" s="228"/>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row>
    <row r="64" spans="1:99" s="209" customFormat="1">
      <c r="A64" s="218"/>
      <c r="B64" s="218"/>
      <c r="C64" s="224"/>
      <c r="D64" s="224"/>
      <c r="E64" s="224"/>
      <c r="F64" s="224"/>
      <c r="G64" s="224"/>
      <c r="H64" s="224"/>
      <c r="I64" s="224"/>
      <c r="J64" s="224"/>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row>
    <row r="65" spans="1:99" s="209" customFormat="1" ht="15.5">
      <c r="A65" s="282" t="s">
        <v>446</v>
      </c>
      <c r="B65" s="282"/>
      <c r="D65" s="203"/>
      <c r="E65" s="203"/>
      <c r="F65" s="203"/>
      <c r="G65" s="203"/>
      <c r="H65" s="203"/>
      <c r="I65" s="203"/>
      <c r="J65" s="203"/>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row>
    <row r="66" spans="1:99" s="209" customFormat="1" ht="6" customHeight="1">
      <c r="D66" s="221"/>
      <c r="E66" s="221"/>
      <c r="F66" s="221"/>
      <c r="G66" s="221"/>
      <c r="H66" s="221"/>
      <c r="I66" s="221"/>
      <c r="J66" s="221"/>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row>
    <row r="67" spans="1:99" s="209" customFormat="1">
      <c r="A67" s="206" t="s">
        <v>0</v>
      </c>
      <c r="B67" s="250">
        <v>624</v>
      </c>
      <c r="C67" s="224">
        <v>549</v>
      </c>
      <c r="D67" s="224">
        <v>1334</v>
      </c>
      <c r="E67" s="224">
        <v>887</v>
      </c>
      <c r="F67" s="224">
        <v>-1212</v>
      </c>
      <c r="G67" s="224">
        <v>-1312</v>
      </c>
      <c r="H67" s="224">
        <v>65</v>
      </c>
      <c r="I67" s="224">
        <v>96</v>
      </c>
      <c r="J67" s="224">
        <v>863</v>
      </c>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row>
    <row r="68" spans="1:99" s="209" customFormat="1">
      <c r="A68" s="206" t="s">
        <v>307</v>
      </c>
      <c r="B68" s="250">
        <v>186</v>
      </c>
      <c r="C68" s="224">
        <v>221</v>
      </c>
      <c r="D68" s="224">
        <v>203</v>
      </c>
      <c r="E68" s="224">
        <v>161</v>
      </c>
      <c r="F68" s="224">
        <v>179</v>
      </c>
      <c r="G68" s="224">
        <v>185</v>
      </c>
      <c r="H68" s="224">
        <v>214</v>
      </c>
      <c r="I68" s="224">
        <v>150</v>
      </c>
      <c r="J68" s="224">
        <v>128</v>
      </c>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row>
    <row r="69" spans="1:99" s="209" customFormat="1">
      <c r="A69" s="206" t="s">
        <v>376</v>
      </c>
      <c r="B69" s="250">
        <v>0</v>
      </c>
      <c r="C69" s="224">
        <v>0</v>
      </c>
      <c r="D69" s="224">
        <v>0</v>
      </c>
      <c r="E69" s="224">
        <v>0</v>
      </c>
      <c r="F69" s="224">
        <v>0</v>
      </c>
      <c r="G69" s="224">
        <v>0</v>
      </c>
      <c r="H69" s="224">
        <v>0</v>
      </c>
      <c r="I69" s="224">
        <v>0</v>
      </c>
      <c r="J69" s="224">
        <v>0</v>
      </c>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row>
    <row r="70" spans="1:99" s="209" customFormat="1">
      <c r="A70" s="206" t="s">
        <v>436</v>
      </c>
      <c r="B70" s="250">
        <v>291</v>
      </c>
      <c r="C70" s="224">
        <v>-200</v>
      </c>
      <c r="D70" s="224">
        <v>-405</v>
      </c>
      <c r="E70" s="224">
        <v>223</v>
      </c>
      <c r="F70" s="224">
        <v>-158</v>
      </c>
      <c r="G70" s="224">
        <v>-861</v>
      </c>
      <c r="H70" s="224">
        <v>-2411</v>
      </c>
      <c r="I70" s="224">
        <v>611</v>
      </c>
      <c r="J70" s="224">
        <v>115</v>
      </c>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row>
    <row r="71" spans="1:99" s="209" customFormat="1">
      <c r="A71" s="206" t="s">
        <v>10</v>
      </c>
      <c r="B71" s="250">
        <v>3</v>
      </c>
      <c r="C71" s="224">
        <v>-10</v>
      </c>
      <c r="D71" s="224">
        <v>11</v>
      </c>
      <c r="E71" s="224">
        <v>2</v>
      </c>
      <c r="F71" s="224">
        <v>1</v>
      </c>
      <c r="G71" s="224">
        <v>0</v>
      </c>
      <c r="H71" s="224">
        <v>2</v>
      </c>
      <c r="I71" s="224">
        <v>-1</v>
      </c>
      <c r="J71" s="224">
        <v>15</v>
      </c>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row>
    <row r="72" spans="1:99" s="209" customFormat="1">
      <c r="A72" s="204" t="s">
        <v>447</v>
      </c>
      <c r="B72" s="228">
        <v>1104</v>
      </c>
      <c r="C72" s="228">
        <v>560</v>
      </c>
      <c r="D72" s="228">
        <v>1143</v>
      </c>
      <c r="E72" s="228">
        <v>1273</v>
      </c>
      <c r="F72" s="228">
        <v>-1190</v>
      </c>
      <c r="G72" s="228">
        <v>-1988</v>
      </c>
      <c r="H72" s="228">
        <v>-2130</v>
      </c>
      <c r="I72" s="228">
        <v>856</v>
      </c>
      <c r="J72" s="228">
        <v>1121</v>
      </c>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row>
    <row r="73" spans="1:99" s="209" customFormat="1">
      <c r="A73" s="206" t="s">
        <v>275</v>
      </c>
      <c r="B73" s="250">
        <v>-227</v>
      </c>
      <c r="C73" s="224">
        <v>-150</v>
      </c>
      <c r="D73" s="224">
        <v>-159</v>
      </c>
      <c r="E73" s="224">
        <v>-221</v>
      </c>
      <c r="F73" s="224">
        <v>-152</v>
      </c>
      <c r="G73" s="224">
        <v>-196</v>
      </c>
      <c r="H73" s="224">
        <v>-146</v>
      </c>
      <c r="I73" s="224">
        <v>-152</v>
      </c>
      <c r="J73" s="224">
        <v>-142</v>
      </c>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row>
    <row r="74" spans="1:99" s="209" customFormat="1">
      <c r="A74" s="206" t="s">
        <v>438</v>
      </c>
      <c r="B74" s="250">
        <v>-342</v>
      </c>
      <c r="C74" s="224">
        <v>-270</v>
      </c>
      <c r="D74" s="224">
        <v>-294</v>
      </c>
      <c r="E74" s="224">
        <v>-346</v>
      </c>
      <c r="F74" s="224">
        <v>-373</v>
      </c>
      <c r="G74" s="224">
        <v>-270</v>
      </c>
      <c r="H74" s="224">
        <v>-330</v>
      </c>
      <c r="I74" s="224">
        <v>-284</v>
      </c>
      <c r="J74" s="224">
        <v>-236</v>
      </c>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row>
    <row r="75" spans="1:99" s="209" customFormat="1">
      <c r="A75" s="206" t="s">
        <v>439</v>
      </c>
      <c r="B75" s="250">
        <v>-86</v>
      </c>
      <c r="C75" s="224">
        <v>-91</v>
      </c>
      <c r="D75" s="224">
        <v>-93</v>
      </c>
      <c r="E75" s="224">
        <v>-83</v>
      </c>
      <c r="F75" s="224">
        <v>-96</v>
      </c>
      <c r="G75" s="224">
        <v>-80</v>
      </c>
      <c r="H75" s="224">
        <v>-71</v>
      </c>
      <c r="I75" s="224">
        <v>-72</v>
      </c>
      <c r="J75" s="224">
        <v>-90</v>
      </c>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row>
    <row r="76" spans="1:99" s="209" customFormat="1">
      <c r="A76" s="206" t="s">
        <v>310</v>
      </c>
      <c r="B76" s="250">
        <v>0</v>
      </c>
      <c r="C76" s="224">
        <v>2</v>
      </c>
      <c r="D76" s="224">
        <v>1</v>
      </c>
      <c r="E76" s="224">
        <v>3</v>
      </c>
      <c r="F76" s="224">
        <v>0</v>
      </c>
      <c r="G76" s="224">
        <v>1</v>
      </c>
      <c r="H76" s="224">
        <v>1</v>
      </c>
      <c r="I76" s="224">
        <v>-2</v>
      </c>
      <c r="J76" s="224">
        <v>4</v>
      </c>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row>
    <row r="77" spans="1:99" s="209" customFormat="1">
      <c r="A77" s="204" t="s">
        <v>443</v>
      </c>
      <c r="B77" s="228">
        <v>449</v>
      </c>
      <c r="C77" s="228">
        <v>51</v>
      </c>
      <c r="D77" s="228">
        <v>598</v>
      </c>
      <c r="E77" s="228">
        <v>626</v>
      </c>
      <c r="F77" s="228">
        <v>-1811</v>
      </c>
      <c r="G77" s="228">
        <v>-2533</v>
      </c>
      <c r="H77" s="228">
        <v>-2676</v>
      </c>
      <c r="I77" s="228">
        <v>346</v>
      </c>
      <c r="J77" s="228">
        <v>657</v>
      </c>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row>
    <row r="78" spans="1:99" s="209" customFormat="1" ht="4.9000000000000004" customHeight="1">
      <c r="A78" s="218"/>
      <c r="B78" s="204"/>
      <c r="C78" s="224"/>
      <c r="D78" s="224"/>
      <c r="E78" s="224"/>
      <c r="F78" s="224"/>
      <c r="G78" s="224"/>
      <c r="H78" s="224"/>
      <c r="I78" s="224"/>
      <c r="J78" s="224"/>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row>
    <row r="79" spans="1:99" s="209" customFormat="1">
      <c r="A79" s="204" t="s">
        <v>15</v>
      </c>
      <c r="B79" s="224">
        <v>555321</v>
      </c>
      <c r="C79" s="224">
        <v>584518</v>
      </c>
      <c r="D79" s="224">
        <v>574141</v>
      </c>
      <c r="E79" s="224">
        <v>601762</v>
      </c>
      <c r="F79" s="224">
        <v>534231</v>
      </c>
      <c r="G79" s="224">
        <v>487621</v>
      </c>
      <c r="H79" s="224">
        <v>498298</v>
      </c>
      <c r="I79" s="224">
        <v>499348</v>
      </c>
      <c r="J79" s="224">
        <v>499348</v>
      </c>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row>
    <row r="80" spans="1:99" s="209" customFormat="1">
      <c r="A80" s="204" t="s">
        <v>355</v>
      </c>
      <c r="B80" s="228">
        <v>514881</v>
      </c>
      <c r="C80" s="228">
        <v>546407</v>
      </c>
      <c r="D80" s="228">
        <v>551071</v>
      </c>
      <c r="E80" s="228">
        <v>581182</v>
      </c>
      <c r="F80" s="228">
        <v>500807</v>
      </c>
      <c r="G80" s="228">
        <v>453937</v>
      </c>
      <c r="H80" s="228">
        <v>476122</v>
      </c>
      <c r="I80" s="228">
        <v>451638</v>
      </c>
      <c r="J80" s="228">
        <v>451638</v>
      </c>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row>
    <row r="81" spans="1:99" s="209" customFormat="1">
      <c r="A81" s="204" t="s">
        <v>440</v>
      </c>
      <c r="B81" s="228">
        <v>40440</v>
      </c>
      <c r="C81" s="228">
        <v>38111</v>
      </c>
      <c r="D81" s="228">
        <v>23070</v>
      </c>
      <c r="E81" s="228">
        <v>20580</v>
      </c>
      <c r="F81" s="228">
        <v>33424</v>
      </c>
      <c r="G81" s="228">
        <v>33684</v>
      </c>
      <c r="H81" s="228">
        <v>22176</v>
      </c>
      <c r="I81" s="228">
        <v>47710</v>
      </c>
      <c r="J81" s="228">
        <v>47710</v>
      </c>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row>
    <row r="82" spans="1:99" s="209" customFormat="1" ht="1.5" customHeight="1">
      <c r="A82" s="204"/>
      <c r="B82" s="228"/>
      <c r="C82" s="228"/>
      <c r="D82" s="228"/>
      <c r="E82" s="228"/>
      <c r="F82" s="228"/>
      <c r="G82" s="228"/>
      <c r="H82" s="228"/>
      <c r="I82" s="228"/>
      <c r="J82" s="228"/>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row>
    <row r="83" spans="1:99" s="209" customFormat="1" ht="5.5" customHeight="1">
      <c r="A83" s="204"/>
      <c r="B83" s="284"/>
      <c r="C83" s="235"/>
      <c r="D83" s="235"/>
      <c r="E83" s="235"/>
      <c r="F83" s="235"/>
      <c r="G83" s="235"/>
      <c r="H83" s="235"/>
      <c r="I83" s="235"/>
      <c r="J83" s="235"/>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row>
    <row r="84" spans="1:99" s="209" customFormat="1">
      <c r="A84" s="283" t="s">
        <v>444</v>
      </c>
      <c r="B84" s="283"/>
      <c r="C84" s="284"/>
      <c r="D84" s="284"/>
      <c r="E84" s="284"/>
      <c r="F84" s="284"/>
      <c r="G84" s="284"/>
      <c r="H84" s="284"/>
      <c r="I84" s="284"/>
      <c r="J84" s="284"/>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row>
    <row r="85" spans="1:99" s="209" customFormat="1" ht="15.5">
      <c r="A85" s="282" t="s">
        <v>448</v>
      </c>
      <c r="B85" s="282"/>
      <c r="C85" s="224"/>
      <c r="D85" s="282"/>
      <c r="E85" s="203"/>
      <c r="F85" s="203"/>
      <c r="G85" s="203"/>
      <c r="H85" s="203"/>
      <c r="I85" s="203"/>
      <c r="J85" s="203"/>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row>
    <row r="86" spans="1:99" s="209" customFormat="1" ht="6" customHeight="1">
      <c r="E86" s="221"/>
      <c r="F86" s="221"/>
      <c r="G86" s="221"/>
      <c r="H86" s="221"/>
      <c r="I86" s="221"/>
      <c r="J86" s="247"/>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row>
    <row r="87" spans="1:99" s="209" customFormat="1">
      <c r="A87" s="206" t="s">
        <v>0</v>
      </c>
      <c r="B87" s="224">
        <v>0</v>
      </c>
      <c r="C87" s="224">
        <v>0</v>
      </c>
      <c r="D87" s="224">
        <v>0</v>
      </c>
      <c r="E87" s="224">
        <v>0</v>
      </c>
      <c r="F87" s="224">
        <v>0</v>
      </c>
      <c r="G87" s="224">
        <v>0</v>
      </c>
      <c r="H87" s="224">
        <v>0</v>
      </c>
      <c r="I87" s="224">
        <v>0</v>
      </c>
      <c r="J87" s="224">
        <v>29</v>
      </c>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row>
    <row r="88" spans="1:99" s="209" customFormat="1">
      <c r="A88" s="206" t="s">
        <v>449</v>
      </c>
      <c r="B88" s="224">
        <v>0</v>
      </c>
      <c r="C88" s="224">
        <v>0</v>
      </c>
      <c r="D88" s="224">
        <v>0</v>
      </c>
      <c r="E88" s="224">
        <v>0</v>
      </c>
      <c r="F88" s="224">
        <v>0</v>
      </c>
      <c r="G88" s="224">
        <v>0</v>
      </c>
      <c r="H88" s="224">
        <v>0</v>
      </c>
      <c r="I88" s="224">
        <v>0</v>
      </c>
      <c r="J88" s="224">
        <v>-22</v>
      </c>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row>
    <row r="89" spans="1:99" s="209" customFormat="1">
      <c r="A89" s="206" t="s">
        <v>376</v>
      </c>
      <c r="B89" s="224">
        <v>0</v>
      </c>
      <c r="C89" s="224">
        <v>0</v>
      </c>
      <c r="D89" s="224">
        <v>0</v>
      </c>
      <c r="E89" s="224">
        <v>0</v>
      </c>
      <c r="F89" s="224">
        <v>0</v>
      </c>
      <c r="G89" s="224">
        <v>0</v>
      </c>
      <c r="H89" s="224">
        <v>0</v>
      </c>
      <c r="I89" s="224">
        <v>0</v>
      </c>
      <c r="J89" s="224">
        <v>998</v>
      </c>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row>
    <row r="90" spans="1:99" s="209" customFormat="1">
      <c r="A90" s="206" t="s">
        <v>2</v>
      </c>
      <c r="B90" s="224">
        <v>0</v>
      </c>
      <c r="C90" s="224">
        <v>0</v>
      </c>
      <c r="D90" s="224">
        <v>0</v>
      </c>
      <c r="E90" s="224">
        <v>0</v>
      </c>
      <c r="F90" s="224">
        <v>0</v>
      </c>
      <c r="G90" s="224">
        <v>0</v>
      </c>
      <c r="H90" s="224">
        <v>0</v>
      </c>
      <c r="I90" s="224">
        <v>0</v>
      </c>
      <c r="J90" s="224">
        <v>623</v>
      </c>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row>
    <row r="91" spans="1:99" s="209" customFormat="1">
      <c r="A91" s="206" t="s">
        <v>450</v>
      </c>
      <c r="B91" s="224">
        <v>0</v>
      </c>
      <c r="C91" s="224">
        <v>0</v>
      </c>
      <c r="D91" s="224">
        <v>0</v>
      </c>
      <c r="E91" s="224">
        <v>0</v>
      </c>
      <c r="F91" s="224">
        <v>0</v>
      </c>
      <c r="G91" s="224">
        <v>0</v>
      </c>
      <c r="H91" s="224">
        <v>0</v>
      </c>
      <c r="I91" s="224">
        <v>0</v>
      </c>
      <c r="J91" s="224">
        <v>0</v>
      </c>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row>
    <row r="92" spans="1:99" s="209" customFormat="1">
      <c r="A92" s="206" t="s">
        <v>10</v>
      </c>
      <c r="B92" s="224">
        <v>0</v>
      </c>
      <c r="C92" s="224">
        <v>0</v>
      </c>
      <c r="D92" s="224">
        <v>0</v>
      </c>
      <c r="E92" s="224">
        <v>0</v>
      </c>
      <c r="F92" s="224">
        <v>0</v>
      </c>
      <c r="G92" s="224">
        <v>0</v>
      </c>
      <c r="H92" s="224">
        <v>0</v>
      </c>
      <c r="I92" s="224">
        <v>0</v>
      </c>
      <c r="J92" s="224">
        <v>8</v>
      </c>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row>
    <row r="93" spans="1:99" s="209" customFormat="1">
      <c r="A93" s="204" t="s">
        <v>437</v>
      </c>
      <c r="B93" s="228">
        <v>0</v>
      </c>
      <c r="C93" s="228">
        <v>0</v>
      </c>
      <c r="D93" s="228">
        <v>0</v>
      </c>
      <c r="E93" s="228">
        <v>0</v>
      </c>
      <c r="F93" s="228">
        <v>0</v>
      </c>
      <c r="G93" s="228">
        <v>0</v>
      </c>
      <c r="H93" s="228">
        <v>0</v>
      </c>
      <c r="I93" s="228">
        <v>0</v>
      </c>
      <c r="J93" s="228">
        <v>1636</v>
      </c>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row>
    <row r="94" spans="1:99" s="209" customFormat="1">
      <c r="A94" s="206" t="s">
        <v>275</v>
      </c>
      <c r="B94" s="224">
        <v>0</v>
      </c>
      <c r="C94" s="224">
        <v>0</v>
      </c>
      <c r="D94" s="224">
        <v>0</v>
      </c>
      <c r="E94" s="224">
        <v>0</v>
      </c>
      <c r="F94" s="224">
        <v>0</v>
      </c>
      <c r="G94" s="224">
        <v>0</v>
      </c>
      <c r="H94" s="224">
        <v>0</v>
      </c>
      <c r="I94" s="224">
        <v>0</v>
      </c>
      <c r="J94" s="224">
        <v>-521</v>
      </c>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row>
    <row r="95" spans="1:99" s="209" customFormat="1">
      <c r="A95" s="206" t="s">
        <v>438</v>
      </c>
      <c r="B95" s="224">
        <v>0</v>
      </c>
      <c r="C95" s="224">
        <v>0</v>
      </c>
      <c r="D95" s="224">
        <v>0</v>
      </c>
      <c r="E95" s="224">
        <v>0</v>
      </c>
      <c r="F95" s="224">
        <v>0</v>
      </c>
      <c r="G95" s="224">
        <v>0</v>
      </c>
      <c r="H95" s="224">
        <v>0</v>
      </c>
      <c r="I95" s="224">
        <v>0</v>
      </c>
      <c r="J95" s="224">
        <v>-2</v>
      </c>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row>
    <row r="96" spans="1:99" s="209" customFormat="1">
      <c r="A96" s="206" t="s">
        <v>439</v>
      </c>
      <c r="B96" s="224">
        <v>0</v>
      </c>
      <c r="C96" s="224">
        <v>0</v>
      </c>
      <c r="D96" s="224">
        <v>0</v>
      </c>
      <c r="E96" s="224">
        <v>0</v>
      </c>
      <c r="F96" s="224">
        <v>0</v>
      </c>
      <c r="G96" s="224">
        <v>0</v>
      </c>
      <c r="H96" s="224">
        <v>0</v>
      </c>
      <c r="I96" s="224">
        <v>0</v>
      </c>
      <c r="J96" s="224">
        <v>0</v>
      </c>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row>
    <row r="97" spans="1:99" s="209" customFormat="1">
      <c r="A97" s="206" t="s">
        <v>310</v>
      </c>
      <c r="B97" s="224">
        <v>0</v>
      </c>
      <c r="C97" s="224">
        <v>0</v>
      </c>
      <c r="D97" s="224">
        <v>0</v>
      </c>
      <c r="E97" s="224">
        <v>0</v>
      </c>
      <c r="F97" s="224">
        <v>0</v>
      </c>
      <c r="G97" s="224">
        <v>0</v>
      </c>
      <c r="H97" s="224">
        <v>0</v>
      </c>
      <c r="I97" s="224">
        <v>0</v>
      </c>
      <c r="J97" s="224">
        <v>0</v>
      </c>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row>
    <row r="98" spans="1:99" s="209" customFormat="1">
      <c r="A98" s="204" t="s">
        <v>390</v>
      </c>
      <c r="B98" s="228">
        <v>0</v>
      </c>
      <c r="C98" s="228">
        <v>0</v>
      </c>
      <c r="D98" s="228">
        <v>0</v>
      </c>
      <c r="E98" s="228">
        <v>0</v>
      </c>
      <c r="F98" s="228">
        <v>0</v>
      </c>
      <c r="G98" s="228">
        <v>0</v>
      </c>
      <c r="H98" s="228">
        <v>0</v>
      </c>
      <c r="I98" s="228">
        <v>0</v>
      </c>
      <c r="J98" s="228">
        <v>1113</v>
      </c>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row>
    <row r="99" spans="1:99" s="209" customFormat="1" ht="4.9000000000000004" customHeight="1">
      <c r="A99" s="218"/>
      <c r="B99" s="224">
        <v>0</v>
      </c>
      <c r="C99" s="224">
        <v>0</v>
      </c>
      <c r="D99" s="224">
        <v>0</v>
      </c>
      <c r="E99" s="224">
        <v>0</v>
      </c>
      <c r="F99" s="224">
        <v>0</v>
      </c>
      <c r="G99" s="224">
        <v>0</v>
      </c>
      <c r="H99" s="224">
        <v>0</v>
      </c>
      <c r="I99" s="224">
        <v>0</v>
      </c>
      <c r="J99" s="224"/>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row>
    <row r="100" spans="1:99" s="209" customFormat="1">
      <c r="A100" s="204" t="s">
        <v>15</v>
      </c>
      <c r="B100" s="224">
        <v>0</v>
      </c>
      <c r="C100" s="224">
        <v>0</v>
      </c>
      <c r="D100" s="224">
        <v>0</v>
      </c>
      <c r="E100" s="224">
        <v>0</v>
      </c>
      <c r="F100" s="224">
        <v>0</v>
      </c>
      <c r="G100" s="224">
        <v>0</v>
      </c>
      <c r="H100" s="224">
        <v>0</v>
      </c>
      <c r="I100" s="224">
        <v>0</v>
      </c>
      <c r="J100" s="224">
        <v>34279</v>
      </c>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row>
    <row r="101" spans="1:99" s="209" customFormat="1">
      <c r="A101" s="204" t="s">
        <v>355</v>
      </c>
      <c r="B101" s="228">
        <v>0</v>
      </c>
      <c r="C101" s="228">
        <v>0</v>
      </c>
      <c r="D101" s="228">
        <v>0</v>
      </c>
      <c r="E101" s="228">
        <v>0</v>
      </c>
      <c r="F101" s="228">
        <v>0</v>
      </c>
      <c r="G101" s="228">
        <v>0</v>
      </c>
      <c r="H101" s="228">
        <v>0</v>
      </c>
      <c r="I101" s="228">
        <v>0</v>
      </c>
      <c r="J101" s="228">
        <v>22198</v>
      </c>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row>
    <row r="102" spans="1:99" s="209" customFormat="1">
      <c r="A102" s="204" t="s">
        <v>440</v>
      </c>
      <c r="B102" s="228">
        <v>0</v>
      </c>
      <c r="C102" s="228">
        <v>0</v>
      </c>
      <c r="D102" s="228">
        <v>0</v>
      </c>
      <c r="E102" s="228">
        <v>0</v>
      </c>
      <c r="F102" s="228">
        <v>0</v>
      </c>
      <c r="G102" s="228">
        <v>0</v>
      </c>
      <c r="H102" s="228">
        <v>0</v>
      </c>
      <c r="I102" s="228">
        <v>0</v>
      </c>
      <c r="J102" s="228">
        <v>12081</v>
      </c>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row>
    <row r="103" spans="1:99" s="209" customFormat="1" ht="1.5" customHeight="1">
      <c r="A103" s="204"/>
      <c r="B103" s="228"/>
      <c r="C103" s="228"/>
      <c r="D103" s="228"/>
      <c r="E103" s="228"/>
      <c r="F103" s="228"/>
      <c r="G103" s="228"/>
      <c r="H103" s="228"/>
      <c r="I103" s="228"/>
      <c r="J103" s="228"/>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row>
    <row r="104" spans="1:99" s="209" customFormat="1">
      <c r="A104" s="218"/>
      <c r="B104" s="218"/>
      <c r="C104" s="224"/>
      <c r="D104" s="224"/>
      <c r="E104" s="224"/>
      <c r="F104" s="224"/>
      <c r="G104" s="224"/>
      <c r="H104" s="224"/>
      <c r="I104" s="224"/>
      <c r="J104" s="224"/>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row>
    <row r="105" spans="1:99" s="209" customFormat="1" ht="15.5">
      <c r="A105" s="282" t="s">
        <v>451</v>
      </c>
      <c r="B105" s="282"/>
      <c r="D105" s="203"/>
      <c r="E105" s="203"/>
      <c r="F105" s="203"/>
      <c r="G105" s="203"/>
      <c r="H105" s="203"/>
      <c r="I105" s="203"/>
      <c r="J105" s="203"/>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row>
    <row r="106" spans="1:99" s="209" customFormat="1" ht="6" customHeight="1">
      <c r="D106" s="221"/>
      <c r="E106" s="221"/>
      <c r="F106" s="221"/>
      <c r="G106" s="221"/>
      <c r="H106" s="221"/>
      <c r="I106" s="221"/>
      <c r="J106" s="221"/>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row>
    <row r="107" spans="1:99" s="209" customFormat="1">
      <c r="A107" s="206" t="s">
        <v>452</v>
      </c>
      <c r="B107" s="250">
        <v>-44</v>
      </c>
      <c r="C107" s="224">
        <v>-74</v>
      </c>
      <c r="D107" s="224">
        <v>-68</v>
      </c>
      <c r="E107" s="224">
        <v>-65</v>
      </c>
      <c r="F107" s="224">
        <v>-58</v>
      </c>
      <c r="G107" s="224">
        <v>-14</v>
      </c>
      <c r="H107" s="224">
        <v>4</v>
      </c>
      <c r="I107" s="224">
        <v>3</v>
      </c>
      <c r="J107" s="224">
        <v>-19</v>
      </c>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row>
    <row r="108" spans="1:99" s="209" customFormat="1">
      <c r="A108" s="206" t="s">
        <v>449</v>
      </c>
      <c r="B108" s="250">
        <v>-24</v>
      </c>
      <c r="C108" s="224">
        <v>49</v>
      </c>
      <c r="D108" s="224">
        <v>46</v>
      </c>
      <c r="E108" s="224">
        <v>98</v>
      </c>
      <c r="F108" s="224">
        <v>-45</v>
      </c>
      <c r="G108" s="224">
        <v>-608</v>
      </c>
      <c r="H108" s="224">
        <v>37</v>
      </c>
      <c r="I108" s="224">
        <v>24</v>
      </c>
      <c r="J108" s="224">
        <v>-203</v>
      </c>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row>
    <row r="109" spans="1:99" s="209" customFormat="1">
      <c r="A109" s="206" t="s">
        <v>376</v>
      </c>
      <c r="B109" s="250">
        <v>0</v>
      </c>
      <c r="C109" s="224">
        <v>0</v>
      </c>
      <c r="D109" s="224">
        <v>0</v>
      </c>
      <c r="E109" s="224">
        <v>0</v>
      </c>
      <c r="F109" s="224">
        <v>0</v>
      </c>
      <c r="G109" s="224">
        <v>-2</v>
      </c>
      <c r="H109" s="224">
        <v>0</v>
      </c>
      <c r="I109" s="224">
        <v>0</v>
      </c>
      <c r="J109" s="224">
        <v>0</v>
      </c>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row>
    <row r="110" spans="1:99" s="209" customFormat="1">
      <c r="A110" s="206" t="s">
        <v>436</v>
      </c>
      <c r="B110" s="250">
        <v>-50</v>
      </c>
      <c r="C110" s="224">
        <v>-38</v>
      </c>
      <c r="D110" s="224">
        <v>147</v>
      </c>
      <c r="E110" s="224">
        <v>-124</v>
      </c>
      <c r="F110" s="224">
        <v>207</v>
      </c>
      <c r="G110" s="224">
        <v>-66</v>
      </c>
      <c r="H110" s="224">
        <v>525</v>
      </c>
      <c r="I110" s="224">
        <v>19</v>
      </c>
      <c r="J110" s="224">
        <v>126</v>
      </c>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row>
    <row r="111" spans="1:99" s="209" customFormat="1">
      <c r="A111" s="206" t="s">
        <v>10</v>
      </c>
      <c r="B111" s="250">
        <v>52</v>
      </c>
      <c r="C111" s="224">
        <v>2</v>
      </c>
      <c r="D111" s="224">
        <v>1565</v>
      </c>
      <c r="E111" s="224">
        <v>8</v>
      </c>
      <c r="F111" s="224">
        <v>9</v>
      </c>
      <c r="G111" s="224">
        <v>10</v>
      </c>
      <c r="H111" s="224">
        <v>28</v>
      </c>
      <c r="I111" s="224">
        <v>5</v>
      </c>
      <c r="J111" s="224">
        <v>526</v>
      </c>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row>
    <row r="112" spans="1:99" s="209" customFormat="1">
      <c r="A112" s="204" t="s">
        <v>447</v>
      </c>
      <c r="B112" s="228">
        <v>-66</v>
      </c>
      <c r="C112" s="228">
        <v>-61</v>
      </c>
      <c r="D112" s="228">
        <v>1690</v>
      </c>
      <c r="E112" s="228">
        <v>-83</v>
      </c>
      <c r="F112" s="228">
        <v>113</v>
      </c>
      <c r="G112" s="228">
        <v>-680</v>
      </c>
      <c r="H112" s="228">
        <v>594</v>
      </c>
      <c r="I112" s="228">
        <v>51</v>
      </c>
      <c r="J112" s="228">
        <v>430</v>
      </c>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row>
    <row r="113" spans="1:99" s="209" customFormat="1">
      <c r="A113" s="206" t="s">
        <v>275</v>
      </c>
      <c r="B113" s="250">
        <v>-105</v>
      </c>
      <c r="C113" s="224">
        <v>-86</v>
      </c>
      <c r="D113" s="224">
        <v>-90</v>
      </c>
      <c r="E113" s="224">
        <v>-116</v>
      </c>
      <c r="F113" s="224">
        <v>-81</v>
      </c>
      <c r="G113" s="224">
        <v>-90</v>
      </c>
      <c r="H113" s="224">
        <v>-75</v>
      </c>
      <c r="I113" s="224">
        <v>-33</v>
      </c>
      <c r="J113" s="224">
        <v>-43</v>
      </c>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row>
    <row r="114" spans="1:99" s="209" customFormat="1">
      <c r="A114" s="206" t="s">
        <v>438</v>
      </c>
      <c r="B114" s="250">
        <v>-50</v>
      </c>
      <c r="C114" s="224">
        <v>-3</v>
      </c>
      <c r="D114" s="224">
        <v>6</v>
      </c>
      <c r="E114" s="224">
        <v>-20</v>
      </c>
      <c r="F114" s="224">
        <v>0</v>
      </c>
      <c r="G114" s="224">
        <v>-29</v>
      </c>
      <c r="H114" s="224">
        <v>-1</v>
      </c>
      <c r="I114" s="224">
        <v>-1</v>
      </c>
      <c r="J114" s="224">
        <v>-1</v>
      </c>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row>
    <row r="115" spans="1:99" s="209" customFormat="1">
      <c r="A115" s="206" t="s">
        <v>439</v>
      </c>
      <c r="B115" s="250">
        <v>0</v>
      </c>
      <c r="C115" s="224">
        <v>0</v>
      </c>
      <c r="D115" s="224">
        <v>0</v>
      </c>
      <c r="E115" s="224">
        <v>0</v>
      </c>
      <c r="F115" s="224">
        <v>0</v>
      </c>
      <c r="G115" s="224">
        <v>0</v>
      </c>
      <c r="H115" s="224">
        <v>0</v>
      </c>
      <c r="I115" s="224">
        <v>0</v>
      </c>
      <c r="J115" s="224">
        <v>0</v>
      </c>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row>
    <row r="116" spans="1:99" s="209" customFormat="1">
      <c r="A116" s="206" t="s">
        <v>310</v>
      </c>
      <c r="B116" s="250">
        <v>20</v>
      </c>
      <c r="C116" s="224">
        <v>27</v>
      </c>
      <c r="D116" s="224">
        <v>60</v>
      </c>
      <c r="E116" s="224">
        <v>21</v>
      </c>
      <c r="F116" s="224">
        <v>412</v>
      </c>
      <c r="G116" s="224">
        <v>-39</v>
      </c>
      <c r="H116" s="224">
        <v>0</v>
      </c>
      <c r="I116" s="224">
        <v>0</v>
      </c>
      <c r="J116" s="224">
        <v>-583</v>
      </c>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row>
    <row r="117" spans="1:99" s="209" customFormat="1">
      <c r="A117" s="204" t="s">
        <v>443</v>
      </c>
      <c r="B117" s="228">
        <v>-201</v>
      </c>
      <c r="C117" s="228">
        <v>-123</v>
      </c>
      <c r="D117" s="228">
        <v>1666</v>
      </c>
      <c r="E117" s="228">
        <v>-198</v>
      </c>
      <c r="F117" s="228">
        <v>444</v>
      </c>
      <c r="G117" s="228">
        <v>-838</v>
      </c>
      <c r="H117" s="228">
        <v>518</v>
      </c>
      <c r="I117" s="228">
        <v>17</v>
      </c>
      <c r="J117" s="228">
        <v>-197</v>
      </c>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row>
    <row r="118" spans="1:99" s="209" customFormat="1" ht="4.9000000000000004" customHeight="1">
      <c r="A118" s="218"/>
      <c r="B118" s="204"/>
      <c r="C118" s="224"/>
      <c r="D118" s="224"/>
      <c r="E118" s="224"/>
      <c r="F118" s="224"/>
      <c r="G118" s="224"/>
      <c r="H118" s="224"/>
      <c r="I118" s="224"/>
      <c r="J118" s="224"/>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row>
    <row r="119" spans="1:99" s="209" customFormat="1">
      <c r="A119" s="204" t="s">
        <v>15</v>
      </c>
      <c r="B119" s="224">
        <v>17733</v>
      </c>
      <c r="C119" s="224">
        <v>18486</v>
      </c>
      <c r="D119" s="224">
        <v>18901</v>
      </c>
      <c r="E119" s="224">
        <v>17039</v>
      </c>
      <c r="F119" s="224">
        <v>32423</v>
      </c>
      <c r="G119" s="224">
        <v>31630</v>
      </c>
      <c r="H119" s="224">
        <v>37015</v>
      </c>
      <c r="I119" s="224">
        <v>38792</v>
      </c>
      <c r="J119" s="224">
        <v>38792</v>
      </c>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row>
    <row r="120" spans="1:99" s="209" customFormat="1">
      <c r="A120" s="204" t="s">
        <v>355</v>
      </c>
      <c r="B120" s="228">
        <v>8605</v>
      </c>
      <c r="C120" s="228">
        <v>8819</v>
      </c>
      <c r="D120" s="228">
        <v>8721</v>
      </c>
      <c r="E120" s="228">
        <v>8200</v>
      </c>
      <c r="F120" s="228">
        <v>21893</v>
      </c>
      <c r="G120" s="228">
        <v>21380</v>
      </c>
      <c r="H120" s="228">
        <v>18470</v>
      </c>
      <c r="I120" s="228">
        <v>20180</v>
      </c>
      <c r="J120" s="228">
        <v>20180</v>
      </c>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row>
    <row r="121" spans="1:99" s="209" customFormat="1">
      <c r="A121" s="204" t="s">
        <v>440</v>
      </c>
      <c r="B121" s="228">
        <v>9128</v>
      </c>
      <c r="C121" s="228">
        <v>9667</v>
      </c>
      <c r="D121" s="228">
        <v>10180</v>
      </c>
      <c r="E121" s="228">
        <v>8839</v>
      </c>
      <c r="F121" s="228">
        <v>10530</v>
      </c>
      <c r="G121" s="228">
        <v>10250</v>
      </c>
      <c r="H121" s="228">
        <v>18545</v>
      </c>
      <c r="I121" s="228">
        <v>18612</v>
      </c>
      <c r="J121" s="228">
        <v>18612</v>
      </c>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row>
    <row r="122" spans="1:99" s="209" customFormat="1" ht="1.5" customHeight="1">
      <c r="A122" s="204"/>
      <c r="B122" s="228"/>
      <c r="C122" s="228"/>
      <c r="D122" s="228"/>
      <c r="E122" s="228"/>
      <c r="F122" s="228"/>
      <c r="G122" s="228"/>
      <c r="H122" s="228"/>
      <c r="I122" s="228"/>
      <c r="J122" s="228"/>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row>
    <row r="123" spans="1:99" s="209" customFormat="1" ht="5.5" customHeight="1">
      <c r="A123" s="204"/>
      <c r="B123" s="284"/>
      <c r="C123" s="235"/>
      <c r="D123" s="235"/>
      <c r="E123" s="235"/>
      <c r="F123" s="235"/>
      <c r="G123" s="235"/>
      <c r="H123" s="235"/>
      <c r="I123" s="235"/>
      <c r="J123" s="235"/>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row>
    <row r="124" spans="1:99" s="209" customFormat="1">
      <c r="A124" s="283" t="s">
        <v>444</v>
      </c>
      <c r="B124" s="283"/>
      <c r="C124" s="284"/>
      <c r="D124" s="284"/>
      <c r="E124" s="284"/>
      <c r="F124" s="284"/>
      <c r="G124" s="284"/>
      <c r="H124" s="284"/>
      <c r="I124" s="284"/>
      <c r="J124" s="284"/>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row>
    <row r="125" spans="1:99" s="209" customFormat="1" ht="15.5">
      <c r="A125" s="282" t="s">
        <v>453</v>
      </c>
      <c r="B125" s="282"/>
      <c r="C125" s="224"/>
      <c r="D125" s="282"/>
      <c r="E125" s="203"/>
      <c r="F125" s="203"/>
      <c r="G125" s="203"/>
      <c r="H125" s="203"/>
      <c r="I125" s="203"/>
      <c r="J125" s="203"/>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row>
    <row r="126" spans="1:99" s="209" customFormat="1" ht="6" customHeight="1">
      <c r="E126" s="221"/>
      <c r="F126" s="221"/>
      <c r="G126" s="221"/>
      <c r="H126" s="221"/>
      <c r="I126" s="221"/>
      <c r="J126" s="247"/>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row>
    <row r="127" spans="1:99" s="209" customFormat="1">
      <c r="A127" s="206" t="s">
        <v>454</v>
      </c>
      <c r="B127" s="250">
        <v>13</v>
      </c>
      <c r="C127" s="224">
        <v>21</v>
      </c>
      <c r="D127" s="224">
        <v>4</v>
      </c>
      <c r="E127" s="224">
        <v>0</v>
      </c>
      <c r="F127" s="224">
        <v>-27</v>
      </c>
      <c r="G127" s="224">
        <v>-48</v>
      </c>
      <c r="H127" s="224">
        <v>11</v>
      </c>
      <c r="I127" s="224">
        <v>-27</v>
      </c>
      <c r="J127" s="224">
        <v>-7</v>
      </c>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row>
    <row r="128" spans="1:99" s="209" customFormat="1">
      <c r="A128" s="206" t="s">
        <v>449</v>
      </c>
      <c r="B128" s="250">
        <v>109</v>
      </c>
      <c r="C128" s="224">
        <v>112</v>
      </c>
      <c r="D128" s="224">
        <v>108</v>
      </c>
      <c r="E128" s="224">
        <v>108</v>
      </c>
      <c r="F128" s="224">
        <v>87</v>
      </c>
      <c r="G128" s="224">
        <v>712</v>
      </c>
      <c r="H128" s="224">
        <v>-519</v>
      </c>
      <c r="I128" s="224">
        <v>-199</v>
      </c>
      <c r="J128" s="224">
        <v>0</v>
      </c>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196"/>
      <c r="BD128" s="196"/>
      <c r="BE128" s="196"/>
      <c r="BF128" s="196"/>
      <c r="BG128" s="196"/>
      <c r="BH128" s="196"/>
      <c r="BI128" s="196"/>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6"/>
      <c r="CJ128" s="196"/>
      <c r="CK128" s="196"/>
      <c r="CL128" s="196"/>
      <c r="CM128" s="196"/>
      <c r="CN128" s="196"/>
      <c r="CO128" s="196"/>
      <c r="CP128" s="196"/>
      <c r="CQ128" s="196"/>
      <c r="CR128" s="196"/>
      <c r="CS128" s="196"/>
      <c r="CT128" s="196"/>
      <c r="CU128" s="196"/>
    </row>
    <row r="129" spans="1:99" s="209" customFormat="1">
      <c r="A129" s="206" t="s">
        <v>455</v>
      </c>
      <c r="B129" s="250">
        <v>-6</v>
      </c>
      <c r="C129" s="224">
        <v>-8</v>
      </c>
      <c r="D129" s="224">
        <v>7</v>
      </c>
      <c r="E129" s="224">
        <v>-51</v>
      </c>
      <c r="F129" s="224">
        <v>-1</v>
      </c>
      <c r="G129" s="224">
        <v>0</v>
      </c>
      <c r="H129" s="224">
        <v>-4</v>
      </c>
      <c r="I129" s="224">
        <v>-61</v>
      </c>
      <c r="J129" s="224">
        <v>-6</v>
      </c>
      <c r="K129" s="196"/>
      <c r="L129" s="196"/>
      <c r="M129" s="196"/>
      <c r="N129" s="196"/>
      <c r="O129" s="196"/>
      <c r="P129" s="196"/>
      <c r="Q129" s="196"/>
      <c r="R129" s="196"/>
      <c r="S129" s="196"/>
      <c r="T129" s="196"/>
      <c r="U129" s="196"/>
      <c r="V129" s="196"/>
      <c r="W129" s="196"/>
      <c r="X129" s="196"/>
      <c r="Y129" s="196"/>
      <c r="Z129" s="196"/>
      <c r="AA129" s="196"/>
      <c r="AB129" s="196"/>
      <c r="AC129" s="196"/>
      <c r="AD129" s="196"/>
      <c r="AE129" s="196"/>
      <c r="AF129" s="196"/>
      <c r="AG129" s="196"/>
      <c r="AH129" s="196"/>
      <c r="AI129" s="196"/>
      <c r="AJ129" s="196"/>
      <c r="AK129" s="196"/>
      <c r="AL129" s="196"/>
      <c r="AM129" s="196"/>
      <c r="AN129" s="196"/>
      <c r="AO129" s="196"/>
      <c r="AP129" s="196"/>
      <c r="AQ129" s="196"/>
      <c r="AR129" s="196"/>
      <c r="AS129" s="196"/>
      <c r="AT129" s="196"/>
      <c r="AU129" s="196"/>
      <c r="AV129" s="196"/>
      <c r="AW129" s="196"/>
      <c r="AX129" s="196"/>
      <c r="AY129" s="196"/>
      <c r="AZ129" s="196"/>
      <c r="BA129" s="196"/>
      <c r="BB129" s="196"/>
      <c r="BC129" s="196"/>
      <c r="BD129" s="196"/>
      <c r="BE129" s="196"/>
      <c r="BF129" s="196"/>
      <c r="BG129" s="196"/>
      <c r="BH129" s="196"/>
      <c r="BI129" s="196"/>
      <c r="BJ129" s="196"/>
      <c r="BK129" s="196"/>
      <c r="BL129" s="196"/>
      <c r="BM129" s="196"/>
      <c r="BN129" s="196"/>
      <c r="BO129" s="196"/>
      <c r="BP129" s="196"/>
      <c r="BQ129" s="196"/>
      <c r="BR129" s="196"/>
      <c r="BS129" s="196"/>
      <c r="BT129" s="196"/>
      <c r="BU129" s="196"/>
      <c r="BV129" s="196"/>
      <c r="BW129" s="196"/>
      <c r="BX129" s="196"/>
      <c r="BY129" s="196"/>
      <c r="BZ129" s="196"/>
      <c r="CA129" s="196"/>
      <c r="CB129" s="196"/>
      <c r="CC129" s="196"/>
      <c r="CD129" s="196"/>
      <c r="CE129" s="196"/>
      <c r="CF129" s="196"/>
      <c r="CG129" s="196"/>
      <c r="CH129" s="196"/>
      <c r="CI129" s="196"/>
      <c r="CJ129" s="196"/>
      <c r="CK129" s="196"/>
      <c r="CL129" s="196"/>
      <c r="CM129" s="196"/>
      <c r="CN129" s="196"/>
      <c r="CO129" s="196"/>
      <c r="CP129" s="196"/>
      <c r="CQ129" s="196"/>
      <c r="CR129" s="196"/>
      <c r="CS129" s="196"/>
      <c r="CT129" s="196"/>
      <c r="CU129" s="196"/>
    </row>
    <row r="130" spans="1:99" s="209" customFormat="1">
      <c r="A130" s="206" t="s">
        <v>436</v>
      </c>
      <c r="B130" s="250">
        <v>1</v>
      </c>
      <c r="C130" s="224">
        <v>-7</v>
      </c>
      <c r="D130" s="224">
        <v>-15</v>
      </c>
      <c r="E130" s="224">
        <v>-1</v>
      </c>
      <c r="F130" s="224">
        <v>-105</v>
      </c>
      <c r="G130" s="224">
        <v>132</v>
      </c>
      <c r="H130" s="224">
        <v>-168</v>
      </c>
      <c r="I130" s="224">
        <v>-31</v>
      </c>
      <c r="J130" s="224">
        <v>-1</v>
      </c>
      <c r="K130" s="196"/>
      <c r="L130" s="196"/>
      <c r="M130" s="196"/>
      <c r="N130" s="196"/>
      <c r="O130" s="196"/>
      <c r="P130" s="196"/>
      <c r="Q130" s="196"/>
      <c r="R130" s="196"/>
      <c r="S130" s="196"/>
      <c r="T130" s="196"/>
      <c r="U130" s="196"/>
      <c r="V130" s="196"/>
      <c r="W130" s="196"/>
      <c r="X130" s="196"/>
      <c r="Y130" s="196"/>
      <c r="Z130" s="196"/>
      <c r="AA130" s="196"/>
      <c r="AB130" s="196"/>
      <c r="AC130" s="196"/>
      <c r="AD130" s="196"/>
      <c r="AE130" s="196"/>
      <c r="AF130" s="196"/>
      <c r="AG130" s="196"/>
      <c r="AH130" s="196"/>
      <c r="AI130" s="196"/>
      <c r="AJ130" s="196"/>
      <c r="AK130" s="196"/>
      <c r="AL130" s="196"/>
      <c r="AM130" s="196"/>
      <c r="AN130" s="196"/>
      <c r="AO130" s="196"/>
      <c r="AP130" s="196"/>
      <c r="AQ130" s="196"/>
      <c r="AR130" s="196"/>
      <c r="AS130" s="196"/>
      <c r="AT130" s="196"/>
      <c r="AU130" s="196"/>
      <c r="AV130" s="196"/>
      <c r="AW130" s="196"/>
      <c r="AX130" s="196"/>
      <c r="AY130" s="196"/>
      <c r="AZ130" s="196"/>
      <c r="BA130" s="196"/>
      <c r="BB130" s="196"/>
      <c r="BC130" s="196"/>
      <c r="BD130" s="196"/>
      <c r="BE130" s="196"/>
      <c r="BF130" s="196"/>
      <c r="BG130" s="196"/>
      <c r="BH130" s="196"/>
      <c r="BI130" s="196"/>
      <c r="BJ130" s="196"/>
      <c r="BK130" s="196"/>
      <c r="BL130" s="196"/>
      <c r="BM130" s="196"/>
      <c r="BN130" s="196"/>
      <c r="BO130" s="196"/>
      <c r="BP130" s="196"/>
      <c r="BQ130" s="196"/>
      <c r="BR130" s="196"/>
      <c r="BS130" s="196"/>
      <c r="BT130" s="196"/>
      <c r="BU130" s="196"/>
      <c r="BV130" s="196"/>
      <c r="BW130" s="196"/>
      <c r="BX130" s="196"/>
      <c r="BY130" s="196"/>
      <c r="BZ130" s="196"/>
      <c r="CA130" s="196"/>
      <c r="CB130" s="196"/>
      <c r="CC130" s="196"/>
      <c r="CD130" s="196"/>
      <c r="CE130" s="196"/>
      <c r="CF130" s="196"/>
      <c r="CG130" s="196"/>
      <c r="CH130" s="196"/>
      <c r="CI130" s="196"/>
      <c r="CJ130" s="196"/>
      <c r="CK130" s="196"/>
      <c r="CL130" s="196"/>
      <c r="CM130" s="196"/>
      <c r="CN130" s="196"/>
      <c r="CO130" s="196"/>
      <c r="CP130" s="196"/>
      <c r="CQ130" s="196"/>
      <c r="CR130" s="196"/>
      <c r="CS130" s="196"/>
      <c r="CT130" s="196"/>
      <c r="CU130" s="196"/>
    </row>
    <row r="131" spans="1:99" s="209" customFormat="1">
      <c r="A131" s="206" t="s">
        <v>442</v>
      </c>
      <c r="B131" s="250">
        <v>-73</v>
      </c>
      <c r="C131" s="224">
        <v>-3</v>
      </c>
      <c r="D131" s="224">
        <v>-10</v>
      </c>
      <c r="E131" s="224">
        <v>2</v>
      </c>
      <c r="F131" s="224">
        <v>-14</v>
      </c>
      <c r="G131" s="224">
        <v>61</v>
      </c>
      <c r="H131" s="224">
        <v>575</v>
      </c>
      <c r="I131" s="224">
        <v>400</v>
      </c>
      <c r="J131" s="224">
        <v>277</v>
      </c>
      <c r="K131" s="196"/>
      <c r="L131" s="196"/>
      <c r="M131" s="196"/>
      <c r="N131" s="196"/>
      <c r="O131" s="196"/>
      <c r="P131" s="196"/>
      <c r="Q131" s="196"/>
      <c r="R131" s="196"/>
      <c r="S131" s="196"/>
      <c r="T131" s="196"/>
      <c r="U131" s="196"/>
      <c r="V131" s="196"/>
      <c r="W131" s="196"/>
      <c r="X131" s="196"/>
      <c r="Y131" s="196"/>
      <c r="Z131" s="196"/>
      <c r="AA131" s="196"/>
      <c r="AB131" s="196"/>
      <c r="AC131" s="196"/>
      <c r="AD131" s="196"/>
      <c r="AE131" s="196"/>
      <c r="AF131" s="196"/>
      <c r="AG131" s="196"/>
      <c r="AH131" s="196"/>
      <c r="AI131" s="196"/>
      <c r="AJ131" s="196"/>
      <c r="AK131" s="196"/>
      <c r="AL131" s="196"/>
      <c r="AM131" s="196"/>
      <c r="AN131" s="196"/>
      <c r="AO131" s="196"/>
      <c r="AP131" s="196"/>
      <c r="AQ131" s="196"/>
      <c r="AR131" s="196"/>
      <c r="AS131" s="196"/>
      <c r="AT131" s="196"/>
      <c r="AU131" s="196"/>
      <c r="AV131" s="196"/>
      <c r="AW131" s="196"/>
      <c r="AX131" s="196"/>
      <c r="AY131" s="196"/>
      <c r="AZ131" s="196"/>
      <c r="BA131" s="196"/>
      <c r="BB131" s="196"/>
      <c r="BC131" s="196"/>
      <c r="BD131" s="196"/>
      <c r="BE131" s="196"/>
      <c r="BF131" s="196"/>
      <c r="BG131" s="196"/>
      <c r="BH131" s="196"/>
      <c r="BI131" s="196"/>
      <c r="BJ131" s="196"/>
      <c r="BK131" s="196"/>
      <c r="BL131" s="196"/>
      <c r="BM131" s="196"/>
      <c r="BN131" s="196"/>
      <c r="BO131" s="196"/>
      <c r="BP131" s="196"/>
      <c r="BQ131" s="196"/>
      <c r="BR131" s="196"/>
      <c r="BS131" s="196"/>
      <c r="BT131" s="196"/>
      <c r="BU131" s="196"/>
      <c r="BV131" s="196"/>
      <c r="BW131" s="196"/>
      <c r="BX131" s="196"/>
      <c r="BY131" s="196"/>
      <c r="BZ131" s="196"/>
      <c r="CA131" s="196"/>
      <c r="CB131" s="196"/>
      <c r="CC131" s="196"/>
      <c r="CD131" s="196"/>
      <c r="CE131" s="196"/>
      <c r="CF131" s="196"/>
      <c r="CG131" s="196"/>
      <c r="CH131" s="196"/>
      <c r="CI131" s="196"/>
      <c r="CJ131" s="196"/>
      <c r="CK131" s="196"/>
      <c r="CL131" s="196"/>
      <c r="CM131" s="196"/>
      <c r="CN131" s="196"/>
      <c r="CO131" s="196"/>
      <c r="CP131" s="196"/>
      <c r="CQ131" s="196"/>
      <c r="CR131" s="196"/>
      <c r="CS131" s="196"/>
      <c r="CT131" s="196"/>
      <c r="CU131" s="196"/>
    </row>
    <row r="132" spans="1:99" s="209" customFormat="1">
      <c r="A132" s="204" t="s">
        <v>447</v>
      </c>
      <c r="B132" s="228">
        <v>44</v>
      </c>
      <c r="C132" s="228">
        <v>115</v>
      </c>
      <c r="D132" s="228">
        <v>94</v>
      </c>
      <c r="E132" s="228">
        <v>58</v>
      </c>
      <c r="F132" s="228">
        <v>-60</v>
      </c>
      <c r="G132" s="228">
        <v>857</v>
      </c>
      <c r="H132" s="228">
        <v>-105</v>
      </c>
      <c r="I132" s="228">
        <v>82</v>
      </c>
      <c r="J132" s="228">
        <v>263</v>
      </c>
      <c r="K132" s="196"/>
      <c r="L132" s="196"/>
      <c r="M132" s="196"/>
      <c r="N132" s="196"/>
      <c r="O132" s="196"/>
      <c r="P132" s="196"/>
      <c r="Q132" s="196"/>
      <c r="R132" s="196"/>
      <c r="S132" s="196"/>
      <c r="T132" s="196"/>
      <c r="U132" s="196"/>
      <c r="V132" s="196"/>
      <c r="W132" s="196"/>
      <c r="X132" s="196"/>
      <c r="Y132" s="196"/>
      <c r="Z132" s="196"/>
      <c r="AA132" s="196"/>
      <c r="AB132" s="196"/>
      <c r="AC132" s="196"/>
      <c r="AD132" s="196"/>
      <c r="AE132" s="196"/>
      <c r="AF132" s="196"/>
      <c r="AG132" s="196"/>
      <c r="AH132" s="196"/>
      <c r="AI132" s="196"/>
      <c r="AJ132" s="196"/>
      <c r="AK132" s="196"/>
      <c r="AL132" s="196"/>
      <c r="AM132" s="196"/>
      <c r="AN132" s="196"/>
      <c r="AO132" s="196"/>
      <c r="AP132" s="196"/>
      <c r="AQ132" s="196"/>
      <c r="AR132" s="196"/>
      <c r="AS132" s="196"/>
      <c r="AT132" s="196"/>
      <c r="AU132" s="196"/>
      <c r="AV132" s="196"/>
      <c r="AW132" s="196"/>
      <c r="AX132" s="196"/>
      <c r="AY132" s="196"/>
      <c r="AZ132" s="196"/>
      <c r="BA132" s="196"/>
      <c r="BB132" s="196"/>
      <c r="BC132" s="196"/>
      <c r="BD132" s="196"/>
      <c r="BE132" s="196"/>
      <c r="BF132" s="196"/>
      <c r="BG132" s="196"/>
      <c r="BH132" s="196"/>
      <c r="BI132" s="196"/>
      <c r="BJ132" s="196"/>
      <c r="BK132" s="196"/>
      <c r="BL132" s="196"/>
      <c r="BM132" s="196"/>
      <c r="BN132" s="196"/>
      <c r="BO132" s="196"/>
      <c r="BP132" s="196"/>
      <c r="BQ132" s="196"/>
      <c r="BR132" s="196"/>
      <c r="BS132" s="196"/>
      <c r="BT132" s="196"/>
      <c r="BU132" s="196"/>
      <c r="BV132" s="196"/>
      <c r="BW132" s="196"/>
      <c r="BX132" s="196"/>
      <c r="BY132" s="196"/>
      <c r="BZ132" s="196"/>
      <c r="CA132" s="196"/>
      <c r="CB132" s="196"/>
      <c r="CC132" s="196"/>
      <c r="CD132" s="196"/>
      <c r="CE132" s="196"/>
      <c r="CF132" s="196"/>
      <c r="CG132" s="196"/>
      <c r="CH132" s="196"/>
      <c r="CI132" s="196"/>
      <c r="CJ132" s="196"/>
      <c r="CK132" s="196"/>
      <c r="CL132" s="196"/>
      <c r="CM132" s="196"/>
      <c r="CN132" s="196"/>
      <c r="CO132" s="196"/>
      <c r="CP132" s="196"/>
      <c r="CQ132" s="196"/>
      <c r="CR132" s="196"/>
      <c r="CS132" s="196"/>
      <c r="CT132" s="196"/>
      <c r="CU132" s="196"/>
    </row>
    <row r="133" spans="1:99" s="209" customFormat="1">
      <c r="A133" s="206" t="s">
        <v>275</v>
      </c>
      <c r="B133" s="250">
        <v>-4891</v>
      </c>
      <c r="C133" s="224">
        <v>-3482</v>
      </c>
      <c r="D133" s="224">
        <v>-3930</v>
      </c>
      <c r="E133" s="224">
        <v>-4292</v>
      </c>
      <c r="F133" s="224">
        <v>-4689</v>
      </c>
      <c r="G133" s="224">
        <v>-3363</v>
      </c>
      <c r="H133" s="224">
        <v>-4039</v>
      </c>
      <c r="I133" s="224">
        <v>-3574</v>
      </c>
      <c r="J133" s="224">
        <v>-2993</v>
      </c>
      <c r="K133" s="196"/>
      <c r="L133" s="196"/>
      <c r="M133" s="196"/>
      <c r="N133" s="196"/>
      <c r="O133" s="196"/>
      <c r="P133" s="196"/>
      <c r="Q133" s="196"/>
      <c r="R133" s="196"/>
      <c r="S133" s="196"/>
      <c r="T133" s="196"/>
      <c r="U133" s="196"/>
      <c r="V133" s="196"/>
      <c r="W133" s="196"/>
      <c r="X133" s="196"/>
      <c r="Y133" s="196"/>
      <c r="Z133" s="196"/>
      <c r="AA133" s="196"/>
      <c r="AB133" s="196"/>
      <c r="AC133" s="196"/>
      <c r="AD133" s="196"/>
      <c r="AE133" s="196"/>
      <c r="AF133" s="196"/>
      <c r="AG133" s="196"/>
      <c r="AH133" s="196"/>
      <c r="AI133" s="196"/>
      <c r="AJ133" s="196"/>
      <c r="AK133" s="196"/>
      <c r="AL133" s="196"/>
      <c r="AM133" s="196"/>
      <c r="AN133" s="196"/>
      <c r="AO133" s="196"/>
      <c r="AP133" s="196"/>
      <c r="AQ133" s="196"/>
      <c r="AR133" s="196"/>
      <c r="AS133" s="196"/>
      <c r="AT133" s="196"/>
      <c r="AU133" s="196"/>
      <c r="AV133" s="196"/>
      <c r="AW133" s="196"/>
      <c r="AX133" s="196"/>
      <c r="AY133" s="196"/>
      <c r="AZ133" s="196"/>
      <c r="BA133" s="196"/>
      <c r="BB133" s="196"/>
      <c r="BC133" s="196"/>
      <c r="BD133" s="196"/>
      <c r="BE133" s="196"/>
      <c r="BF133" s="196"/>
      <c r="BG133" s="196"/>
      <c r="BH133" s="196"/>
      <c r="BI133" s="196"/>
      <c r="BJ133" s="196"/>
      <c r="BK133" s="196"/>
      <c r="BL133" s="196"/>
      <c r="BM133" s="196"/>
      <c r="BN133" s="196"/>
      <c r="BO133" s="196"/>
      <c r="BP133" s="196"/>
      <c r="BQ133" s="196"/>
      <c r="BR133" s="196"/>
      <c r="BS133" s="196"/>
      <c r="BT133" s="196"/>
      <c r="BU133" s="196"/>
      <c r="BV133" s="196"/>
      <c r="BW133" s="196"/>
      <c r="BX133" s="196"/>
      <c r="BY133" s="196"/>
      <c r="BZ133" s="196"/>
      <c r="CA133" s="196"/>
      <c r="CB133" s="196"/>
      <c r="CC133" s="196"/>
      <c r="CD133" s="196"/>
      <c r="CE133" s="196"/>
      <c r="CF133" s="196"/>
      <c r="CG133" s="196"/>
      <c r="CH133" s="196"/>
      <c r="CI133" s="196"/>
      <c r="CJ133" s="196"/>
      <c r="CK133" s="196"/>
      <c r="CL133" s="196"/>
      <c r="CM133" s="196"/>
      <c r="CN133" s="196"/>
      <c r="CO133" s="196"/>
      <c r="CP133" s="196"/>
      <c r="CQ133" s="196"/>
      <c r="CR133" s="196"/>
      <c r="CS133" s="196"/>
      <c r="CT133" s="196"/>
      <c r="CU133" s="196"/>
    </row>
    <row r="134" spans="1:99" s="209" customFormat="1">
      <c r="A134" s="206" t="s">
        <v>438</v>
      </c>
      <c r="B134" s="250">
        <v>4842</v>
      </c>
      <c r="C134" s="224">
        <v>3446</v>
      </c>
      <c r="D134" s="224">
        <v>3865</v>
      </c>
      <c r="E134" s="224">
        <v>4241</v>
      </c>
      <c r="F134" s="224">
        <v>4627</v>
      </c>
      <c r="G134" s="224">
        <v>3328</v>
      </c>
      <c r="H134" s="224">
        <v>3708</v>
      </c>
      <c r="I134" s="224">
        <v>3293</v>
      </c>
      <c r="J134" s="224">
        <v>2730</v>
      </c>
      <c r="K134" s="196"/>
      <c r="L134" s="196"/>
      <c r="M134" s="196"/>
      <c r="N134" s="196"/>
      <c r="O134" s="196"/>
      <c r="P134" s="196"/>
      <c r="Q134" s="196"/>
      <c r="R134" s="196"/>
      <c r="S134" s="196"/>
      <c r="T134" s="196"/>
      <c r="U134" s="196"/>
      <c r="V134" s="196"/>
      <c r="W134" s="196"/>
      <c r="X134" s="196"/>
      <c r="Y134" s="196"/>
      <c r="Z134" s="196"/>
      <c r="AA134" s="196"/>
      <c r="AB134" s="196"/>
      <c r="AC134" s="196"/>
      <c r="AD134" s="196"/>
      <c r="AE134" s="196"/>
      <c r="AF134" s="196"/>
      <c r="AG134" s="196"/>
      <c r="AH134" s="196"/>
      <c r="AI134" s="196"/>
      <c r="AJ134" s="196"/>
      <c r="AK134" s="196"/>
      <c r="AL134" s="196"/>
      <c r="AM134" s="196"/>
      <c r="AN134" s="196"/>
      <c r="AO134" s="196"/>
      <c r="AP134" s="196"/>
      <c r="AQ134" s="196"/>
      <c r="AR134" s="196"/>
      <c r="AS134" s="196"/>
      <c r="AT134" s="196"/>
      <c r="AU134" s="196"/>
      <c r="AV134" s="196"/>
      <c r="AW134" s="196"/>
      <c r="AX134" s="196"/>
      <c r="AY134" s="196"/>
      <c r="AZ134" s="196"/>
      <c r="BA134" s="196"/>
      <c r="BB134" s="196"/>
      <c r="BC134" s="196"/>
      <c r="BD134" s="196"/>
      <c r="BE134" s="196"/>
      <c r="BF134" s="196"/>
      <c r="BG134" s="196"/>
      <c r="BH134" s="196"/>
      <c r="BI134" s="196"/>
      <c r="BJ134" s="196"/>
      <c r="BK134" s="196"/>
      <c r="BL134" s="196"/>
      <c r="BM134" s="196"/>
      <c r="BN134" s="196"/>
      <c r="BO134" s="196"/>
      <c r="BP134" s="196"/>
      <c r="BQ134" s="196"/>
      <c r="BR134" s="196"/>
      <c r="BS134" s="196"/>
      <c r="BT134" s="196"/>
      <c r="BU134" s="196"/>
      <c r="BV134" s="196"/>
      <c r="BW134" s="196"/>
      <c r="BX134" s="196"/>
      <c r="BY134" s="196"/>
      <c r="BZ134" s="196"/>
      <c r="CA134" s="196"/>
      <c r="CB134" s="196"/>
      <c r="CC134" s="196"/>
      <c r="CD134" s="196"/>
      <c r="CE134" s="196"/>
      <c r="CF134" s="196"/>
      <c r="CG134" s="196"/>
      <c r="CH134" s="196"/>
      <c r="CI134" s="196"/>
      <c r="CJ134" s="196"/>
      <c r="CK134" s="196"/>
      <c r="CL134" s="196"/>
      <c r="CM134" s="196"/>
      <c r="CN134" s="196"/>
      <c r="CO134" s="196"/>
      <c r="CP134" s="196"/>
      <c r="CQ134" s="196"/>
      <c r="CR134" s="196"/>
      <c r="CS134" s="196"/>
      <c r="CT134" s="196"/>
      <c r="CU134" s="196"/>
    </row>
    <row r="135" spans="1:99" s="209" customFormat="1">
      <c r="A135" s="206" t="s">
        <v>439</v>
      </c>
      <c r="B135" s="250">
        <v>10</v>
      </c>
      <c r="C135" s="224">
        <v>0</v>
      </c>
      <c r="D135" s="224">
        <v>0</v>
      </c>
      <c r="E135" s="224">
        <v>0</v>
      </c>
      <c r="F135" s="224">
        <v>11</v>
      </c>
      <c r="G135" s="224">
        <v>0</v>
      </c>
      <c r="H135" s="224">
        <v>0</v>
      </c>
      <c r="I135" s="224">
        <v>0</v>
      </c>
      <c r="J135" s="224">
        <v>0</v>
      </c>
      <c r="K135" s="196"/>
      <c r="L135" s="196"/>
      <c r="M135" s="196"/>
      <c r="N135" s="196"/>
      <c r="O135" s="196"/>
      <c r="P135" s="196"/>
      <c r="Q135" s="196"/>
      <c r="R135" s="196"/>
      <c r="S135" s="196"/>
      <c r="T135" s="196"/>
      <c r="U135" s="196"/>
      <c r="V135" s="196"/>
      <c r="W135" s="196"/>
      <c r="X135" s="196"/>
      <c r="Y135" s="196"/>
      <c r="Z135" s="196"/>
      <c r="AA135" s="196"/>
      <c r="AB135" s="196"/>
      <c r="AC135" s="196"/>
      <c r="AD135" s="196"/>
      <c r="AE135" s="196"/>
      <c r="AF135" s="196"/>
      <c r="AG135" s="196"/>
      <c r="AH135" s="196"/>
      <c r="AI135" s="196"/>
      <c r="AJ135" s="196"/>
      <c r="AK135" s="196"/>
      <c r="AL135" s="196"/>
      <c r="AM135" s="196"/>
      <c r="AN135" s="196"/>
      <c r="AO135" s="196"/>
      <c r="AP135" s="196"/>
      <c r="AQ135" s="196"/>
      <c r="AR135" s="196"/>
      <c r="AS135" s="196"/>
      <c r="AT135" s="196"/>
      <c r="AU135" s="196"/>
      <c r="AV135" s="196"/>
      <c r="AW135" s="196"/>
      <c r="AX135" s="196"/>
      <c r="AY135" s="196"/>
      <c r="AZ135" s="196"/>
      <c r="BA135" s="196"/>
      <c r="BB135" s="196"/>
      <c r="BC135" s="196"/>
      <c r="BD135" s="196"/>
      <c r="BE135" s="196"/>
      <c r="BF135" s="196"/>
      <c r="BG135" s="196"/>
      <c r="BH135" s="196"/>
      <c r="BI135" s="196"/>
      <c r="BJ135" s="196"/>
      <c r="BK135" s="196"/>
      <c r="BL135" s="196"/>
      <c r="BM135" s="196"/>
      <c r="BN135" s="196"/>
      <c r="BO135" s="196"/>
      <c r="BP135" s="196"/>
      <c r="BQ135" s="196"/>
      <c r="BR135" s="196"/>
      <c r="BS135" s="196"/>
      <c r="BT135" s="196"/>
      <c r="BU135" s="196"/>
      <c r="BV135" s="196"/>
      <c r="BW135" s="196"/>
      <c r="BX135" s="196"/>
      <c r="BY135" s="196"/>
      <c r="BZ135" s="196"/>
      <c r="CA135" s="196"/>
      <c r="CB135" s="196"/>
      <c r="CC135" s="196"/>
      <c r="CD135" s="196"/>
      <c r="CE135" s="196"/>
      <c r="CF135" s="196"/>
      <c r="CG135" s="196"/>
      <c r="CH135" s="196"/>
      <c r="CI135" s="196"/>
      <c r="CJ135" s="196"/>
      <c r="CK135" s="196"/>
      <c r="CL135" s="196"/>
      <c r="CM135" s="196"/>
      <c r="CN135" s="196"/>
      <c r="CO135" s="196"/>
      <c r="CP135" s="196"/>
      <c r="CQ135" s="196"/>
      <c r="CR135" s="196"/>
      <c r="CS135" s="196"/>
      <c r="CT135" s="196"/>
      <c r="CU135" s="196"/>
    </row>
    <row r="136" spans="1:99" s="209" customFormat="1">
      <c r="A136" s="206" t="s">
        <v>310</v>
      </c>
      <c r="B136" s="250">
        <v>4</v>
      </c>
      <c r="C136" s="224">
        <v>2</v>
      </c>
      <c r="D136" s="224">
        <v>-2</v>
      </c>
      <c r="E136" s="224">
        <v>3</v>
      </c>
      <c r="F136" s="224">
        <v>-271</v>
      </c>
      <c r="G136" s="224">
        <v>198</v>
      </c>
      <c r="H136" s="224">
        <v>-891</v>
      </c>
      <c r="I136" s="224">
        <v>4</v>
      </c>
      <c r="J136" s="224">
        <v>-85</v>
      </c>
      <c r="K136" s="196"/>
      <c r="L136" s="196"/>
      <c r="M136" s="196"/>
      <c r="N136" s="196"/>
      <c r="O136" s="196"/>
      <c r="P136" s="196"/>
      <c r="Q136" s="196"/>
      <c r="R136" s="196"/>
      <c r="S136" s="196"/>
      <c r="T136" s="196"/>
      <c r="U136" s="196"/>
      <c r="V136" s="196"/>
      <c r="W136" s="196"/>
      <c r="X136" s="196"/>
      <c r="Y136" s="196"/>
      <c r="Z136" s="196"/>
      <c r="AA136" s="196"/>
      <c r="AB136" s="196"/>
      <c r="AC136" s="196"/>
      <c r="AD136" s="196"/>
      <c r="AE136" s="196"/>
      <c r="AF136" s="196"/>
      <c r="AG136" s="196"/>
      <c r="AH136" s="196"/>
      <c r="AI136" s="196"/>
      <c r="AJ136" s="196"/>
      <c r="AK136" s="196"/>
      <c r="AL136" s="196"/>
      <c r="AM136" s="196"/>
      <c r="AN136" s="196"/>
      <c r="AO136" s="196"/>
      <c r="AP136" s="196"/>
      <c r="AQ136" s="196"/>
      <c r="AR136" s="196"/>
      <c r="AS136" s="196"/>
      <c r="AT136" s="196"/>
      <c r="AU136" s="196"/>
      <c r="AV136" s="196"/>
      <c r="AW136" s="196"/>
      <c r="AX136" s="196"/>
      <c r="AY136" s="196"/>
      <c r="AZ136" s="196"/>
      <c r="BA136" s="196"/>
      <c r="BB136" s="196"/>
      <c r="BC136" s="196"/>
      <c r="BD136" s="196"/>
      <c r="BE136" s="196"/>
      <c r="BF136" s="196"/>
      <c r="BG136" s="196"/>
      <c r="BH136" s="196"/>
      <c r="BI136" s="196"/>
      <c r="BJ136" s="196"/>
      <c r="BK136" s="196"/>
      <c r="BL136" s="196"/>
      <c r="BM136" s="196"/>
      <c r="BN136" s="196"/>
      <c r="BO136" s="196"/>
      <c r="BP136" s="196"/>
      <c r="BQ136" s="196"/>
      <c r="BR136" s="196"/>
      <c r="BS136" s="196"/>
      <c r="BT136" s="196"/>
      <c r="BU136" s="196"/>
      <c r="BV136" s="196"/>
      <c r="BW136" s="196"/>
      <c r="BX136" s="196"/>
      <c r="BY136" s="196"/>
      <c r="BZ136" s="196"/>
      <c r="CA136" s="196"/>
      <c r="CB136" s="196"/>
      <c r="CC136" s="196"/>
      <c r="CD136" s="196"/>
      <c r="CE136" s="196"/>
      <c r="CF136" s="196"/>
      <c r="CG136" s="196"/>
      <c r="CH136" s="196"/>
      <c r="CI136" s="196"/>
      <c r="CJ136" s="196"/>
      <c r="CK136" s="196"/>
      <c r="CL136" s="196"/>
      <c r="CM136" s="196"/>
      <c r="CN136" s="196"/>
      <c r="CO136" s="196"/>
      <c r="CP136" s="196"/>
      <c r="CQ136" s="196"/>
      <c r="CR136" s="196"/>
      <c r="CS136" s="196"/>
      <c r="CT136" s="196"/>
      <c r="CU136" s="196"/>
    </row>
    <row r="137" spans="1:99" s="209" customFormat="1">
      <c r="A137" s="204" t="s">
        <v>443</v>
      </c>
      <c r="B137" s="228">
        <v>9</v>
      </c>
      <c r="C137" s="228">
        <v>81</v>
      </c>
      <c r="D137" s="228">
        <v>27</v>
      </c>
      <c r="E137" s="228">
        <v>10</v>
      </c>
      <c r="F137" s="228">
        <v>-382</v>
      </c>
      <c r="G137" s="228">
        <v>1020</v>
      </c>
      <c r="H137" s="228">
        <v>-1327</v>
      </c>
      <c r="I137" s="228">
        <v>-195</v>
      </c>
      <c r="J137" s="228">
        <v>-85</v>
      </c>
      <c r="K137" s="196"/>
      <c r="L137" s="196"/>
      <c r="M137" s="196"/>
      <c r="N137" s="196"/>
      <c r="O137" s="196"/>
      <c r="P137" s="196"/>
      <c r="Q137" s="196"/>
      <c r="R137" s="196"/>
      <c r="S137" s="196"/>
      <c r="T137" s="196"/>
      <c r="U137" s="196"/>
      <c r="V137" s="196"/>
      <c r="W137" s="196"/>
      <c r="X137" s="196"/>
      <c r="Y137" s="196"/>
      <c r="Z137" s="196"/>
      <c r="AA137" s="196"/>
      <c r="AB137" s="196"/>
      <c r="AC137" s="196"/>
      <c r="AD137" s="196"/>
      <c r="AE137" s="196"/>
      <c r="AF137" s="196"/>
      <c r="AG137" s="196"/>
      <c r="AH137" s="196"/>
      <c r="AI137" s="196"/>
      <c r="AJ137" s="196"/>
      <c r="AK137" s="196"/>
      <c r="AL137" s="196"/>
      <c r="AM137" s="196"/>
      <c r="AN137" s="196"/>
      <c r="AO137" s="196"/>
      <c r="AP137" s="196"/>
      <c r="AQ137" s="196"/>
      <c r="AR137" s="196"/>
      <c r="AS137" s="196"/>
      <c r="AT137" s="196"/>
      <c r="AU137" s="196"/>
      <c r="AV137" s="196"/>
      <c r="AW137" s="196"/>
      <c r="AX137" s="196"/>
      <c r="AY137" s="196"/>
      <c r="AZ137" s="196"/>
      <c r="BA137" s="196"/>
      <c r="BB137" s="196"/>
      <c r="BC137" s="196"/>
      <c r="BD137" s="196"/>
      <c r="BE137" s="196"/>
      <c r="BF137" s="196"/>
      <c r="BG137" s="196"/>
      <c r="BH137" s="196"/>
      <c r="BI137" s="196"/>
      <c r="BJ137" s="196"/>
      <c r="BK137" s="196"/>
      <c r="BL137" s="196"/>
      <c r="BM137" s="196"/>
      <c r="BN137" s="196"/>
      <c r="BO137" s="196"/>
      <c r="BP137" s="196"/>
      <c r="BQ137" s="196"/>
      <c r="BR137" s="196"/>
      <c r="BS137" s="196"/>
      <c r="BT137" s="196"/>
      <c r="BU137" s="196"/>
      <c r="BV137" s="196"/>
      <c r="BW137" s="196"/>
      <c r="BX137" s="196"/>
      <c r="BY137" s="196"/>
      <c r="BZ137" s="196"/>
      <c r="CA137" s="196"/>
      <c r="CB137" s="196"/>
      <c r="CC137" s="196"/>
      <c r="CD137" s="196"/>
      <c r="CE137" s="196"/>
      <c r="CF137" s="196"/>
      <c r="CG137" s="196"/>
      <c r="CH137" s="196"/>
      <c r="CI137" s="196"/>
      <c r="CJ137" s="196"/>
      <c r="CK137" s="196"/>
      <c r="CL137" s="196"/>
      <c r="CM137" s="196"/>
      <c r="CN137" s="196"/>
      <c r="CO137" s="196"/>
      <c r="CP137" s="196"/>
      <c r="CQ137" s="196"/>
      <c r="CR137" s="196"/>
      <c r="CS137" s="196"/>
      <c r="CT137" s="196"/>
      <c r="CU137" s="196"/>
    </row>
    <row r="138" spans="1:99" s="209" customFormat="1">
      <c r="A138" s="218"/>
      <c r="B138" s="204"/>
      <c r="C138" s="224"/>
      <c r="D138" s="224"/>
      <c r="E138" s="224"/>
      <c r="F138" s="224"/>
      <c r="G138" s="224"/>
      <c r="H138" s="224"/>
      <c r="I138" s="224"/>
      <c r="J138" s="224"/>
      <c r="K138" s="196"/>
      <c r="L138" s="196"/>
      <c r="M138" s="196"/>
      <c r="N138" s="196"/>
      <c r="O138" s="196"/>
      <c r="P138" s="196"/>
      <c r="Q138" s="196"/>
      <c r="R138" s="196"/>
      <c r="S138" s="196"/>
      <c r="T138" s="196"/>
      <c r="U138" s="196"/>
      <c r="V138" s="196"/>
      <c r="W138" s="196"/>
      <c r="X138" s="196"/>
      <c r="Y138" s="196"/>
      <c r="Z138" s="196"/>
      <c r="AA138" s="196"/>
      <c r="AB138" s="196"/>
      <c r="AC138" s="196"/>
      <c r="AD138" s="196"/>
      <c r="AE138" s="196"/>
      <c r="AF138" s="196"/>
      <c r="AG138" s="196"/>
      <c r="AH138" s="196"/>
      <c r="AI138" s="196"/>
      <c r="AJ138" s="196"/>
      <c r="AK138" s="196"/>
      <c r="AL138" s="196"/>
      <c r="AM138" s="196"/>
      <c r="AN138" s="196"/>
      <c r="AO138" s="196"/>
      <c r="AP138" s="196"/>
      <c r="AQ138" s="196"/>
      <c r="AR138" s="196"/>
      <c r="AS138" s="196"/>
      <c r="AT138" s="196"/>
      <c r="AU138" s="196"/>
      <c r="AV138" s="196"/>
      <c r="AW138" s="196"/>
      <c r="AX138" s="196"/>
      <c r="AY138" s="196"/>
      <c r="AZ138" s="196"/>
      <c r="BA138" s="196"/>
      <c r="BB138" s="196"/>
      <c r="BC138" s="196"/>
      <c r="BD138" s="196"/>
      <c r="BE138" s="196"/>
      <c r="BF138" s="196"/>
      <c r="BG138" s="196"/>
      <c r="BH138" s="196"/>
      <c r="BI138" s="196"/>
      <c r="BJ138" s="196"/>
      <c r="BK138" s="196"/>
      <c r="BL138" s="196"/>
      <c r="BM138" s="196"/>
      <c r="BN138" s="196"/>
      <c r="BO138" s="196"/>
      <c r="BP138" s="196"/>
      <c r="BQ138" s="196"/>
      <c r="BR138" s="196"/>
      <c r="BS138" s="196"/>
      <c r="BT138" s="196"/>
      <c r="BU138" s="196"/>
      <c r="BV138" s="196"/>
      <c r="BW138" s="196"/>
      <c r="BX138" s="196"/>
      <c r="BY138" s="196"/>
      <c r="BZ138" s="196"/>
      <c r="CA138" s="196"/>
      <c r="CB138" s="196"/>
      <c r="CC138" s="196"/>
      <c r="CD138" s="196"/>
      <c r="CE138" s="196"/>
      <c r="CF138" s="196"/>
      <c r="CG138" s="196"/>
      <c r="CH138" s="196"/>
      <c r="CI138" s="196"/>
      <c r="CJ138" s="196"/>
      <c r="CK138" s="196"/>
      <c r="CL138" s="196"/>
      <c r="CM138" s="196"/>
      <c r="CN138" s="196"/>
      <c r="CO138" s="196"/>
      <c r="CP138" s="196"/>
      <c r="CQ138" s="196"/>
      <c r="CR138" s="196"/>
      <c r="CS138" s="196"/>
      <c r="CT138" s="196"/>
      <c r="CU138" s="196"/>
    </row>
    <row r="139" spans="1:99" s="209" customFormat="1">
      <c r="A139" s="204" t="s">
        <v>15</v>
      </c>
      <c r="B139" s="224">
        <v>-332403</v>
      </c>
      <c r="C139" s="224">
        <v>-339329</v>
      </c>
      <c r="D139" s="224">
        <v>-341704</v>
      </c>
      <c r="E139" s="224">
        <v>-367622</v>
      </c>
      <c r="F139" s="224">
        <v>-314002</v>
      </c>
      <c r="G139" s="224">
        <v>-280272</v>
      </c>
      <c r="H139" s="224">
        <v>-301039</v>
      </c>
      <c r="I139" s="224">
        <v>-286390</v>
      </c>
      <c r="J139" s="224">
        <v>-286390</v>
      </c>
      <c r="K139" s="196"/>
      <c r="L139" s="196"/>
      <c r="M139" s="196"/>
      <c r="N139" s="196"/>
      <c r="O139" s="196"/>
      <c r="P139" s="196"/>
      <c r="Q139" s="196"/>
      <c r="R139" s="196"/>
      <c r="S139" s="196"/>
      <c r="T139" s="196"/>
      <c r="U139" s="196"/>
      <c r="V139" s="196"/>
      <c r="W139" s="196"/>
      <c r="X139" s="196"/>
      <c r="Y139" s="196"/>
      <c r="Z139" s="196"/>
      <c r="AA139" s="196"/>
      <c r="AB139" s="196"/>
      <c r="AC139" s="196"/>
      <c r="AD139" s="196"/>
      <c r="AE139" s="196"/>
      <c r="AF139" s="196"/>
      <c r="AG139" s="196"/>
      <c r="AH139" s="196"/>
      <c r="AI139" s="196"/>
      <c r="AJ139" s="196"/>
      <c r="AK139" s="196"/>
      <c r="AL139" s="196"/>
      <c r="AM139" s="196"/>
      <c r="AN139" s="196"/>
      <c r="AO139" s="196"/>
      <c r="AP139" s="196"/>
      <c r="AQ139" s="196"/>
      <c r="AR139" s="196"/>
      <c r="AS139" s="196"/>
      <c r="AT139" s="196"/>
      <c r="AU139" s="196"/>
      <c r="AV139" s="196"/>
      <c r="AW139" s="196"/>
      <c r="AX139" s="196"/>
      <c r="AY139" s="196"/>
      <c r="AZ139" s="196"/>
      <c r="BA139" s="196"/>
      <c r="BB139" s="196"/>
      <c r="BC139" s="196"/>
      <c r="BD139" s="196"/>
      <c r="BE139" s="196"/>
      <c r="BF139" s="196"/>
      <c r="BG139" s="196"/>
      <c r="BH139" s="196"/>
      <c r="BI139" s="196"/>
      <c r="BJ139" s="196"/>
      <c r="BK139" s="196"/>
      <c r="BL139" s="196"/>
      <c r="BM139" s="196"/>
      <c r="BN139" s="196"/>
      <c r="BO139" s="196"/>
      <c r="BP139" s="196"/>
      <c r="BQ139" s="196"/>
      <c r="BR139" s="196"/>
      <c r="BS139" s="196"/>
      <c r="BT139" s="196"/>
      <c r="BU139" s="196"/>
      <c r="BV139" s="196"/>
      <c r="BW139" s="196"/>
      <c r="BX139" s="196"/>
      <c r="BY139" s="196"/>
      <c r="BZ139" s="196"/>
      <c r="CA139" s="196"/>
      <c r="CB139" s="196"/>
      <c r="CC139" s="196"/>
      <c r="CD139" s="196"/>
      <c r="CE139" s="196"/>
      <c r="CF139" s="196"/>
      <c r="CG139" s="196"/>
      <c r="CH139" s="196"/>
      <c r="CI139" s="196"/>
      <c r="CJ139" s="196"/>
      <c r="CK139" s="196"/>
      <c r="CL139" s="196"/>
      <c r="CM139" s="196"/>
      <c r="CN139" s="196"/>
      <c r="CO139" s="196"/>
      <c r="CP139" s="196"/>
      <c r="CQ139" s="196"/>
      <c r="CR139" s="196"/>
      <c r="CS139" s="196"/>
      <c r="CT139" s="196"/>
      <c r="CU139" s="196"/>
    </row>
    <row r="140" spans="1:99" s="209" customFormat="1">
      <c r="A140" s="204" t="s">
        <v>355</v>
      </c>
      <c r="B140" s="228">
        <v>-332403</v>
      </c>
      <c r="C140" s="228">
        <v>-339329</v>
      </c>
      <c r="D140" s="228">
        <v>-341704</v>
      </c>
      <c r="E140" s="228">
        <v>-367622</v>
      </c>
      <c r="F140" s="228">
        <v>-314002</v>
      </c>
      <c r="G140" s="228">
        <v>-280272</v>
      </c>
      <c r="H140" s="228">
        <v>-301039</v>
      </c>
      <c r="I140" s="228">
        <v>-286390</v>
      </c>
      <c r="J140" s="228">
        <v>-286390</v>
      </c>
      <c r="K140" s="196"/>
      <c r="L140" s="196"/>
      <c r="M140" s="196"/>
      <c r="N140" s="196"/>
      <c r="O140" s="196"/>
      <c r="P140" s="196"/>
      <c r="Q140" s="196"/>
      <c r="R140" s="196"/>
      <c r="S140" s="196"/>
      <c r="T140" s="196"/>
      <c r="U140" s="196"/>
      <c r="V140" s="196"/>
      <c r="W140" s="196"/>
      <c r="X140" s="196"/>
      <c r="Y140" s="196"/>
      <c r="Z140" s="196"/>
      <c r="AA140" s="196"/>
      <c r="AB140" s="196"/>
      <c r="AC140" s="196"/>
      <c r="AD140" s="196"/>
      <c r="AE140" s="196"/>
      <c r="AF140" s="196"/>
      <c r="AG140" s="196"/>
      <c r="AH140" s="196"/>
      <c r="AI140" s="196"/>
      <c r="AJ140" s="196"/>
      <c r="AK140" s="196"/>
      <c r="AL140" s="196"/>
      <c r="AM140" s="196"/>
      <c r="AN140" s="196"/>
      <c r="AO140" s="196"/>
      <c r="AP140" s="196"/>
      <c r="AQ140" s="196"/>
      <c r="AR140" s="196"/>
      <c r="AS140" s="196"/>
      <c r="AT140" s="196"/>
      <c r="AU140" s="196"/>
      <c r="AV140" s="196"/>
      <c r="AW140" s="196"/>
      <c r="AX140" s="196"/>
      <c r="AY140" s="196"/>
      <c r="AZ140" s="196"/>
      <c r="BA140" s="196"/>
      <c r="BB140" s="196"/>
      <c r="BC140" s="196"/>
      <c r="BD140" s="196"/>
      <c r="BE140" s="196"/>
      <c r="BF140" s="196"/>
      <c r="BG140" s="196"/>
      <c r="BH140" s="196"/>
      <c r="BI140" s="196"/>
      <c r="BJ140" s="196"/>
      <c r="BK140" s="196"/>
      <c r="BL140" s="196"/>
      <c r="BM140" s="196"/>
      <c r="BN140" s="196"/>
      <c r="BO140" s="196"/>
      <c r="BP140" s="196"/>
      <c r="BQ140" s="196"/>
      <c r="BR140" s="196"/>
      <c r="BS140" s="196"/>
      <c r="BT140" s="196"/>
      <c r="BU140" s="196"/>
      <c r="BV140" s="196"/>
      <c r="BW140" s="196"/>
      <c r="BX140" s="196"/>
      <c r="BY140" s="196"/>
      <c r="BZ140" s="196"/>
      <c r="CA140" s="196"/>
      <c r="CB140" s="196"/>
      <c r="CC140" s="196"/>
      <c r="CD140" s="196"/>
      <c r="CE140" s="196"/>
      <c r="CF140" s="196"/>
      <c r="CG140" s="196"/>
      <c r="CH140" s="196"/>
      <c r="CI140" s="196"/>
      <c r="CJ140" s="196"/>
      <c r="CK140" s="196"/>
      <c r="CL140" s="196"/>
      <c r="CM140" s="196"/>
      <c r="CN140" s="196"/>
      <c r="CO140" s="196"/>
      <c r="CP140" s="196"/>
      <c r="CQ140" s="196"/>
      <c r="CR140" s="196"/>
      <c r="CS140" s="196"/>
      <c r="CT140" s="196"/>
      <c r="CU140" s="196"/>
    </row>
    <row r="141" spans="1:99" s="209" customFormat="1">
      <c r="A141" s="204" t="s">
        <v>440</v>
      </c>
      <c r="B141" s="228">
        <v>0</v>
      </c>
      <c r="C141" s="228">
        <v>0</v>
      </c>
      <c r="D141" s="228">
        <v>0</v>
      </c>
      <c r="E141" s="228">
        <v>0</v>
      </c>
      <c r="F141" s="228">
        <v>0</v>
      </c>
      <c r="G141" s="228">
        <v>0</v>
      </c>
      <c r="H141" s="228">
        <v>0</v>
      </c>
      <c r="I141" s="228">
        <v>0</v>
      </c>
      <c r="J141" s="228">
        <v>0</v>
      </c>
      <c r="K141" s="196"/>
      <c r="L141" s="196"/>
      <c r="M141" s="196"/>
      <c r="N141" s="196"/>
      <c r="O141" s="196"/>
      <c r="P141" s="196"/>
      <c r="Q141" s="196"/>
      <c r="R141" s="196"/>
      <c r="S141" s="196"/>
      <c r="T141" s="196"/>
      <c r="U141" s="196"/>
      <c r="V141" s="196"/>
      <c r="W141" s="196"/>
      <c r="X141" s="196"/>
      <c r="Y141" s="196"/>
      <c r="Z141" s="196"/>
      <c r="AA141" s="196"/>
      <c r="AB141" s="196"/>
      <c r="AC141" s="196"/>
      <c r="AD141" s="196"/>
      <c r="AE141" s="196"/>
      <c r="AF141" s="196"/>
      <c r="AG141" s="196"/>
      <c r="AH141" s="196"/>
      <c r="AI141" s="196"/>
      <c r="AJ141" s="196"/>
      <c r="AK141" s="196"/>
      <c r="AL141" s="196"/>
      <c r="AM141" s="196"/>
      <c r="AN141" s="196"/>
      <c r="AO141" s="196"/>
      <c r="AP141" s="196"/>
      <c r="AQ141" s="196"/>
      <c r="AR141" s="196"/>
      <c r="AS141" s="196"/>
      <c r="AT141" s="196"/>
      <c r="AU141" s="196"/>
      <c r="AV141" s="196"/>
      <c r="AW141" s="196"/>
      <c r="AX141" s="196"/>
      <c r="AY141" s="196"/>
      <c r="AZ141" s="196"/>
      <c r="BA141" s="196"/>
      <c r="BB141" s="196"/>
      <c r="BC141" s="196"/>
      <c r="BD141" s="196"/>
      <c r="BE141" s="196"/>
      <c r="BF141" s="196"/>
      <c r="BG141" s="196"/>
      <c r="BH141" s="196"/>
      <c r="BI141" s="196"/>
      <c r="BJ141" s="196"/>
      <c r="BK141" s="196"/>
      <c r="BL141" s="196"/>
      <c r="BM141" s="196"/>
      <c r="BN141" s="196"/>
      <c r="BO141" s="196"/>
      <c r="BP141" s="196"/>
      <c r="BQ141" s="196"/>
      <c r="BR141" s="196"/>
      <c r="BS141" s="196"/>
      <c r="BT141" s="196"/>
      <c r="BU141" s="196"/>
      <c r="BV141" s="196"/>
      <c r="BW141" s="196"/>
      <c r="BX141" s="196"/>
      <c r="BY141" s="196"/>
      <c r="BZ141" s="196"/>
      <c r="CA141" s="196"/>
      <c r="CB141" s="196"/>
      <c r="CC141" s="196"/>
      <c r="CD141" s="196"/>
      <c r="CE141" s="196"/>
      <c r="CF141" s="196"/>
      <c r="CG141" s="196"/>
      <c r="CH141" s="196"/>
      <c r="CI141" s="196"/>
      <c r="CJ141" s="196"/>
      <c r="CK141" s="196"/>
      <c r="CL141" s="196"/>
      <c r="CM141" s="196"/>
      <c r="CN141" s="196"/>
      <c r="CO141" s="196"/>
      <c r="CP141" s="196"/>
      <c r="CQ141" s="196"/>
      <c r="CR141" s="196"/>
      <c r="CS141" s="196"/>
      <c r="CT141" s="196"/>
      <c r="CU141" s="196"/>
    </row>
    <row r="142" spans="1:99" s="209" customFormat="1" ht="1.5" customHeight="1">
      <c r="A142" s="204"/>
      <c r="B142" s="228"/>
      <c r="C142" s="228"/>
      <c r="D142" s="228"/>
      <c r="E142" s="228"/>
      <c r="F142" s="228"/>
      <c r="G142" s="228"/>
      <c r="H142" s="228"/>
      <c r="I142" s="228"/>
      <c r="J142" s="228"/>
      <c r="K142" s="196"/>
      <c r="L142" s="196"/>
      <c r="M142" s="196"/>
      <c r="N142" s="196"/>
      <c r="O142" s="196"/>
      <c r="P142" s="196"/>
      <c r="Q142" s="196"/>
      <c r="R142" s="196"/>
      <c r="S142" s="196"/>
      <c r="T142" s="196"/>
      <c r="U142" s="196"/>
      <c r="V142" s="196"/>
      <c r="W142" s="196"/>
      <c r="X142" s="196"/>
      <c r="Y142" s="196"/>
      <c r="Z142" s="196"/>
      <c r="AA142" s="196"/>
      <c r="AB142" s="196"/>
      <c r="AC142" s="196"/>
      <c r="AD142" s="196"/>
      <c r="AE142" s="196"/>
      <c r="AF142" s="196"/>
      <c r="AG142" s="196"/>
      <c r="AH142" s="196"/>
      <c r="AI142" s="196"/>
      <c r="AJ142" s="196"/>
      <c r="AK142" s="196"/>
      <c r="AL142" s="196"/>
      <c r="AM142" s="196"/>
      <c r="AN142" s="196"/>
      <c r="AO142" s="196"/>
      <c r="AP142" s="196"/>
      <c r="AQ142" s="196"/>
      <c r="AR142" s="196"/>
      <c r="AS142" s="196"/>
      <c r="AT142" s="196"/>
      <c r="AU142" s="196"/>
      <c r="AV142" s="196"/>
      <c r="AW142" s="196"/>
      <c r="AX142" s="196"/>
      <c r="AY142" s="196"/>
      <c r="AZ142" s="196"/>
      <c r="BA142" s="196"/>
      <c r="BB142" s="196"/>
      <c r="BC142" s="196"/>
      <c r="BD142" s="196"/>
      <c r="BE142" s="196"/>
      <c r="BF142" s="196"/>
      <c r="BG142" s="196"/>
      <c r="BH142" s="196"/>
      <c r="BI142" s="196"/>
      <c r="BJ142" s="196"/>
      <c r="BK142" s="196"/>
      <c r="BL142" s="196"/>
      <c r="BM142" s="196"/>
      <c r="BN142" s="196"/>
      <c r="BO142" s="196"/>
      <c r="BP142" s="196"/>
      <c r="BQ142" s="196"/>
      <c r="BR142" s="196"/>
      <c r="BS142" s="196"/>
      <c r="BT142" s="196"/>
      <c r="BU142" s="196"/>
      <c r="BV142" s="196"/>
      <c r="BW142" s="196"/>
      <c r="BX142" s="196"/>
      <c r="BY142" s="196"/>
      <c r="BZ142" s="196"/>
      <c r="CA142" s="196"/>
      <c r="CB142" s="196"/>
      <c r="CC142" s="196"/>
      <c r="CD142" s="196"/>
      <c r="CE142" s="196"/>
      <c r="CF142" s="196"/>
      <c r="CG142" s="196"/>
      <c r="CH142" s="196"/>
      <c r="CI142" s="196"/>
      <c r="CJ142" s="196"/>
      <c r="CK142" s="196"/>
      <c r="CL142" s="196"/>
      <c r="CM142" s="196"/>
      <c r="CN142" s="196"/>
      <c r="CO142" s="196"/>
      <c r="CP142" s="196"/>
      <c r="CQ142" s="196"/>
      <c r="CR142" s="196"/>
      <c r="CS142" s="196"/>
      <c r="CT142" s="196"/>
      <c r="CU142" s="196"/>
    </row>
    <row r="143" spans="1:99" s="209" customFormat="1">
      <c r="A143" s="218"/>
      <c r="B143" s="218"/>
      <c r="C143" s="224"/>
      <c r="D143" s="218"/>
      <c r="E143" s="218"/>
      <c r="F143" s="218"/>
      <c r="G143" s="218"/>
      <c r="H143" s="224"/>
      <c r="I143" s="224"/>
      <c r="J143" s="224"/>
      <c r="K143" s="196"/>
      <c r="L143" s="196"/>
      <c r="M143" s="196"/>
      <c r="N143" s="196"/>
      <c r="O143" s="196"/>
      <c r="P143" s="196"/>
      <c r="Q143" s="196"/>
      <c r="R143" s="196"/>
      <c r="S143" s="196"/>
      <c r="T143" s="196"/>
      <c r="U143" s="196"/>
      <c r="V143" s="196"/>
      <c r="W143" s="196"/>
      <c r="X143" s="196"/>
      <c r="Y143" s="196"/>
      <c r="Z143" s="196"/>
      <c r="AA143" s="196"/>
      <c r="AB143" s="196"/>
      <c r="AC143" s="196"/>
      <c r="AD143" s="196"/>
      <c r="AE143" s="196"/>
      <c r="AF143" s="196"/>
      <c r="AG143" s="196"/>
      <c r="AH143" s="196"/>
      <c r="AI143" s="196"/>
      <c r="AJ143" s="196"/>
      <c r="AK143" s="196"/>
      <c r="AL143" s="196"/>
      <c r="AM143" s="196"/>
      <c r="AN143" s="196"/>
      <c r="AO143" s="196"/>
      <c r="AP143" s="196"/>
      <c r="AQ143" s="196"/>
      <c r="AR143" s="196"/>
      <c r="AS143" s="196"/>
      <c r="AT143" s="196"/>
      <c r="AU143" s="196"/>
      <c r="AV143" s="196"/>
      <c r="AW143" s="196"/>
      <c r="AX143" s="196"/>
      <c r="AY143" s="196"/>
      <c r="AZ143" s="196"/>
      <c r="BA143" s="196"/>
      <c r="BB143" s="196"/>
      <c r="BC143" s="196"/>
      <c r="BD143" s="196"/>
      <c r="BE143" s="196"/>
      <c r="BF143" s="196"/>
      <c r="BG143" s="196"/>
      <c r="BH143" s="196"/>
      <c r="BI143" s="196"/>
      <c r="BJ143" s="196"/>
      <c r="BK143" s="196"/>
      <c r="BL143" s="196"/>
      <c r="BM143" s="196"/>
      <c r="BN143" s="196"/>
      <c r="BO143" s="196"/>
      <c r="BP143" s="196"/>
      <c r="BQ143" s="196"/>
      <c r="BR143" s="196"/>
      <c r="BS143" s="196"/>
      <c r="BT143" s="196"/>
      <c r="BU143" s="196"/>
      <c r="BV143" s="196"/>
      <c r="BW143" s="196"/>
      <c r="BX143" s="196"/>
      <c r="BY143" s="196"/>
      <c r="BZ143" s="196"/>
      <c r="CA143" s="196"/>
      <c r="CB143" s="196"/>
      <c r="CC143" s="196"/>
      <c r="CD143" s="196"/>
      <c r="CE143" s="196"/>
      <c r="CF143" s="196"/>
      <c r="CG143" s="196"/>
      <c r="CH143" s="196"/>
      <c r="CI143" s="196"/>
      <c r="CJ143" s="196"/>
      <c r="CK143" s="196"/>
      <c r="CL143" s="196"/>
      <c r="CM143" s="196"/>
      <c r="CN143" s="196"/>
      <c r="CO143" s="196"/>
      <c r="CP143" s="196"/>
      <c r="CQ143" s="196"/>
      <c r="CR143" s="196"/>
      <c r="CS143" s="196"/>
      <c r="CT143" s="196"/>
      <c r="CU143" s="196"/>
    </row>
    <row r="144" spans="1:99" s="209" customFormat="1">
      <c r="D144" s="213"/>
      <c r="E144" s="213"/>
      <c r="F144" s="213"/>
      <c r="G144" s="213"/>
      <c r="H144" s="213"/>
      <c r="I144" s="213"/>
      <c r="J144" s="213"/>
      <c r="K144" s="196"/>
      <c r="L144" s="196"/>
      <c r="M144" s="196"/>
      <c r="N144" s="196"/>
      <c r="O144" s="196"/>
      <c r="P144" s="196"/>
      <c r="Q144" s="196"/>
      <c r="R144" s="196"/>
      <c r="S144" s="196"/>
      <c r="T144" s="196"/>
      <c r="U144" s="196"/>
      <c r="V144" s="196"/>
      <c r="W144" s="196"/>
      <c r="X144" s="196"/>
      <c r="Y144" s="196"/>
      <c r="Z144" s="196"/>
      <c r="AA144" s="196"/>
      <c r="AB144" s="196"/>
      <c r="AC144" s="196"/>
      <c r="AD144" s="196"/>
      <c r="AE144" s="196"/>
      <c r="AF144" s="196"/>
      <c r="AG144" s="196"/>
      <c r="AH144" s="196"/>
      <c r="AI144" s="196"/>
      <c r="AJ144" s="196"/>
      <c r="AK144" s="196"/>
      <c r="AL144" s="196"/>
      <c r="AM144" s="196"/>
      <c r="AN144" s="196"/>
      <c r="AO144" s="196"/>
      <c r="AP144" s="196"/>
      <c r="AQ144" s="196"/>
      <c r="AR144" s="196"/>
      <c r="AS144" s="196"/>
      <c r="AT144" s="196"/>
      <c r="AU144" s="196"/>
      <c r="AV144" s="196"/>
      <c r="AW144" s="196"/>
      <c r="AX144" s="196"/>
      <c r="AY144" s="196"/>
      <c r="AZ144" s="196"/>
      <c r="BA144" s="196"/>
      <c r="BB144" s="196"/>
      <c r="BC144" s="196"/>
      <c r="BD144" s="196"/>
      <c r="BE144" s="196"/>
      <c r="BF144" s="196"/>
      <c r="BG144" s="196"/>
      <c r="BH144" s="196"/>
      <c r="BI144" s="196"/>
      <c r="BJ144" s="196"/>
      <c r="BK144" s="196"/>
      <c r="BL144" s="196"/>
      <c r="BM144" s="196"/>
      <c r="BN144" s="196"/>
      <c r="BO144" s="196"/>
      <c r="BP144" s="196"/>
      <c r="BQ144" s="196"/>
      <c r="BR144" s="196"/>
      <c r="BS144" s="196"/>
      <c r="BT144" s="196"/>
      <c r="BU144" s="196"/>
      <c r="BV144" s="196"/>
      <c r="BW144" s="196"/>
      <c r="BX144" s="196"/>
      <c r="BY144" s="196"/>
      <c r="BZ144" s="196"/>
      <c r="CA144" s="196"/>
      <c r="CB144" s="196"/>
      <c r="CC144" s="196"/>
      <c r="CD144" s="196"/>
      <c r="CE144" s="196"/>
      <c r="CF144" s="196"/>
      <c r="CG144" s="196"/>
      <c r="CH144" s="196"/>
      <c r="CI144" s="196"/>
      <c r="CJ144" s="196"/>
      <c r="CK144" s="196"/>
      <c r="CL144" s="196"/>
      <c r="CM144" s="196"/>
      <c r="CN144" s="196"/>
      <c r="CO144" s="196"/>
      <c r="CP144" s="196"/>
      <c r="CQ144" s="196"/>
      <c r="CR144" s="196"/>
      <c r="CS144" s="196"/>
      <c r="CT144" s="196"/>
      <c r="CU144" s="196"/>
    </row>
  </sheetData>
  <mergeCells count="1">
    <mergeCell ref="A2:J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31.12.2023&amp;C&amp;8&amp;P&amp;R&amp;"-,Italic"&amp;8______________________________________________________
All amounts are in ISK millions</oddFooter>
  </headerFooter>
  <rowBreaks count="3" manualBreakCount="3">
    <brk id="44" max="9" man="1"/>
    <brk id="84" max="9"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796875" defaultRowHeight="14.5"/>
  <cols>
    <col min="1" max="1" width="44.81640625" style="198" customWidth="1"/>
    <col min="2" max="6" width="9" style="198" customWidth="1"/>
    <col min="7" max="7" width="40.26953125" style="198" customWidth="1"/>
    <col min="8" max="16384" width="9.1796875" style="198"/>
  </cols>
  <sheetData>
    <row r="1" spans="1:12" ht="27.75" customHeight="1">
      <c r="A1" s="258" t="s">
        <v>360</v>
      </c>
      <c r="B1" s="263"/>
      <c r="C1" s="263"/>
      <c r="D1" s="263"/>
      <c r="E1" s="263"/>
      <c r="F1" s="263"/>
      <c r="G1" s="196"/>
    </row>
    <row r="2" spans="1:12">
      <c r="A2" s="264"/>
      <c r="B2" s="265"/>
      <c r="C2" s="265"/>
      <c r="D2" s="265"/>
      <c r="E2" s="265"/>
      <c r="F2" s="265"/>
      <c r="G2" s="196"/>
    </row>
    <row r="3" spans="1:12">
      <c r="A3" s="199"/>
      <c r="B3" s="200"/>
      <c r="C3" s="200"/>
      <c r="D3" s="200"/>
      <c r="E3" s="200"/>
      <c r="F3" s="200"/>
      <c r="G3" s="196"/>
    </row>
    <row r="4" spans="1:12">
      <c r="A4" s="199"/>
      <c r="B4" s="200"/>
      <c r="C4" s="200"/>
      <c r="D4" s="200"/>
      <c r="E4" s="200"/>
      <c r="F4" s="200"/>
      <c r="G4" s="196"/>
    </row>
    <row r="5" spans="1:12" ht="15" customHeight="1">
      <c r="A5" s="269" t="s">
        <v>361</v>
      </c>
      <c r="B5" s="269"/>
      <c r="C5" s="269"/>
      <c r="D5" s="269"/>
      <c r="E5" s="269"/>
      <c r="F5" s="269"/>
      <c r="G5" s="270"/>
      <c r="H5" s="270"/>
      <c r="I5" s="270"/>
      <c r="J5" s="270"/>
      <c r="K5" s="270"/>
      <c r="L5" s="270"/>
    </row>
    <row r="6" spans="1:12">
      <c r="A6" s="269"/>
      <c r="B6" s="269"/>
      <c r="C6" s="269"/>
      <c r="D6" s="269"/>
      <c r="E6" s="269"/>
      <c r="F6" s="269"/>
      <c r="G6" s="270"/>
      <c r="H6" s="270"/>
      <c r="I6" s="270"/>
      <c r="J6" s="270"/>
      <c r="K6" s="270"/>
      <c r="L6" s="270"/>
    </row>
    <row r="7" spans="1:12">
      <c r="A7" s="269"/>
      <c r="B7" s="269"/>
      <c r="C7" s="269"/>
      <c r="D7" s="269"/>
      <c r="E7" s="269"/>
      <c r="F7" s="269"/>
      <c r="G7" s="270"/>
      <c r="H7" s="270"/>
      <c r="I7" s="270"/>
      <c r="J7" s="270"/>
      <c r="K7" s="270"/>
      <c r="L7" s="270"/>
    </row>
    <row r="8" spans="1:12">
      <c r="A8" s="269"/>
      <c r="B8" s="269"/>
      <c r="C8" s="269"/>
      <c r="D8" s="269"/>
      <c r="E8" s="269"/>
      <c r="F8" s="269"/>
      <c r="G8" s="270"/>
      <c r="H8" s="270"/>
      <c r="I8" s="270"/>
      <c r="J8" s="270"/>
      <c r="K8" s="270"/>
      <c r="L8" s="270"/>
    </row>
    <row r="9" spans="1:12">
      <c r="A9" s="269" t="s">
        <v>362</v>
      </c>
      <c r="B9" s="269"/>
      <c r="C9" s="269"/>
      <c r="D9" s="269"/>
      <c r="E9" s="269"/>
      <c r="F9" s="269"/>
      <c r="G9" s="270"/>
      <c r="H9" s="270"/>
      <c r="I9" s="270"/>
      <c r="J9" s="270"/>
      <c r="K9" s="270"/>
      <c r="L9" s="270"/>
    </row>
    <row r="10" spans="1:12">
      <c r="A10" s="269"/>
      <c r="B10" s="269"/>
      <c r="C10" s="269"/>
      <c r="D10" s="269"/>
      <c r="E10" s="269"/>
      <c r="F10" s="269"/>
      <c r="G10" s="270"/>
      <c r="H10" s="270"/>
      <c r="I10" s="270"/>
      <c r="J10" s="270"/>
      <c r="K10" s="270"/>
      <c r="L10" s="270"/>
    </row>
    <row r="11" spans="1:12">
      <c r="A11" s="269"/>
      <c r="B11" s="269"/>
      <c r="C11" s="269"/>
      <c r="D11" s="269"/>
      <c r="E11" s="269"/>
      <c r="F11" s="269"/>
      <c r="G11" s="270"/>
      <c r="H11" s="270"/>
      <c r="I11" s="270"/>
      <c r="J11" s="270"/>
      <c r="K11" s="270"/>
      <c r="L11" s="270"/>
    </row>
    <row r="12" spans="1:12">
      <c r="A12" s="269" t="s">
        <v>363</v>
      </c>
      <c r="B12" s="269"/>
      <c r="C12" s="269"/>
      <c r="D12" s="269"/>
      <c r="E12" s="269"/>
      <c r="F12" s="269"/>
      <c r="G12" s="270"/>
      <c r="H12" s="270"/>
      <c r="I12" s="270"/>
      <c r="J12" s="270"/>
      <c r="K12" s="270"/>
      <c r="L12" s="270"/>
    </row>
    <row r="13" spans="1:12">
      <c r="A13" s="269"/>
      <c r="B13" s="269"/>
      <c r="C13" s="269"/>
      <c r="D13" s="269"/>
      <c r="E13" s="269"/>
      <c r="F13" s="269"/>
      <c r="G13" s="270"/>
      <c r="H13" s="270"/>
      <c r="I13" s="270"/>
      <c r="J13" s="270"/>
      <c r="K13" s="270"/>
      <c r="L13" s="270"/>
    </row>
    <row r="14" spans="1:12">
      <c r="A14" s="269"/>
      <c r="B14" s="269"/>
      <c r="C14" s="269"/>
      <c r="D14" s="269"/>
      <c r="E14" s="269"/>
      <c r="F14" s="269"/>
      <c r="G14" s="270"/>
      <c r="H14" s="270"/>
      <c r="I14" s="270"/>
      <c r="J14" s="270"/>
      <c r="K14" s="270"/>
      <c r="L14" s="270"/>
    </row>
    <row r="15" spans="1:12">
      <c r="A15" s="269"/>
      <c r="B15" s="269"/>
      <c r="C15" s="269"/>
      <c r="D15" s="269"/>
      <c r="E15" s="269"/>
      <c r="F15" s="269"/>
      <c r="G15" s="270"/>
      <c r="H15" s="270"/>
      <c r="I15" s="270"/>
      <c r="J15" s="270"/>
      <c r="K15" s="270"/>
      <c r="L15" s="270"/>
    </row>
    <row r="16" spans="1:12">
      <c r="A16" s="269"/>
      <c r="B16" s="269"/>
      <c r="C16" s="269"/>
      <c r="D16" s="269"/>
      <c r="E16" s="269"/>
      <c r="F16" s="269"/>
      <c r="G16" s="270"/>
      <c r="H16" s="270"/>
      <c r="I16" s="270"/>
      <c r="J16" s="270"/>
      <c r="K16" s="270"/>
      <c r="L16" s="270"/>
    </row>
    <row r="17" spans="1:12">
      <c r="A17" s="269"/>
      <c r="B17" s="269"/>
      <c r="C17" s="269"/>
      <c r="D17" s="269"/>
      <c r="E17" s="269"/>
      <c r="F17" s="269"/>
      <c r="G17" s="270"/>
      <c r="H17" s="270"/>
      <c r="I17" s="270"/>
      <c r="J17" s="270"/>
      <c r="K17" s="270"/>
      <c r="L17" s="270"/>
    </row>
    <row r="18" spans="1:12" s="195" customFormat="1">
      <c r="A18" s="269" t="s">
        <v>365</v>
      </c>
      <c r="B18" s="269"/>
      <c r="C18" s="269"/>
      <c r="D18" s="269"/>
      <c r="E18" s="269"/>
      <c r="F18" s="269"/>
      <c r="G18" s="270"/>
      <c r="H18" s="270"/>
      <c r="I18" s="270"/>
      <c r="J18" s="270"/>
      <c r="K18" s="270"/>
      <c r="L18" s="270"/>
    </row>
    <row r="19" spans="1:12">
      <c r="A19" s="269"/>
      <c r="B19" s="269"/>
      <c r="C19" s="269"/>
      <c r="D19" s="269"/>
      <c r="E19" s="269"/>
      <c r="F19" s="269"/>
      <c r="G19" s="270"/>
      <c r="H19" s="270"/>
      <c r="I19" s="270"/>
      <c r="J19" s="270"/>
      <c r="K19" s="270"/>
      <c r="L19" s="270"/>
    </row>
    <row r="20" spans="1:12">
      <c r="A20" s="206" t="s">
        <v>364</v>
      </c>
      <c r="B20" s="209"/>
      <c r="C20" s="209"/>
      <c r="D20" s="209"/>
      <c r="E20" s="209"/>
      <c r="F20" s="209"/>
      <c r="G20" s="270"/>
      <c r="H20" s="270"/>
      <c r="I20" s="270"/>
      <c r="J20" s="270"/>
      <c r="K20" s="270"/>
      <c r="L20" s="270"/>
    </row>
    <row r="21" spans="1:12">
      <c r="A21" s="201"/>
      <c r="B21" s="201"/>
      <c r="C21" s="201"/>
      <c r="D21" s="201"/>
      <c r="E21" s="201"/>
      <c r="F21" s="201"/>
      <c r="G21" s="270"/>
      <c r="H21" s="270"/>
      <c r="I21" s="270"/>
      <c r="J21" s="270"/>
      <c r="K21" s="270"/>
      <c r="L21" s="270"/>
    </row>
    <row r="22" spans="1:12">
      <c r="A22" s="201"/>
      <c r="B22" s="201"/>
      <c r="C22" s="201"/>
      <c r="D22" s="201"/>
      <c r="E22" s="201"/>
      <c r="F22" s="201"/>
      <c r="G22" s="270"/>
      <c r="H22" s="270"/>
      <c r="I22" s="270"/>
      <c r="J22" s="270"/>
      <c r="K22" s="270"/>
      <c r="L22" s="270"/>
    </row>
    <row r="23" spans="1:12">
      <c r="A23" s="201"/>
      <c r="B23" s="201"/>
      <c r="C23" s="201"/>
      <c r="D23" s="201"/>
      <c r="E23" s="201"/>
      <c r="F23" s="201"/>
      <c r="G23" s="270"/>
      <c r="H23" s="270"/>
      <c r="I23" s="270"/>
      <c r="J23" s="270"/>
      <c r="K23" s="270"/>
      <c r="L23" s="270"/>
    </row>
    <row r="24" spans="1:12">
      <c r="A24" s="201"/>
      <c r="B24" s="201"/>
      <c r="C24" s="201"/>
      <c r="D24" s="201"/>
      <c r="E24" s="201"/>
      <c r="F24" s="201"/>
      <c r="G24" s="270"/>
      <c r="H24" s="270"/>
      <c r="I24" s="270"/>
      <c r="J24" s="270"/>
      <c r="K24" s="270"/>
      <c r="L24" s="270"/>
    </row>
    <row r="25" spans="1:12">
      <c r="A25" s="201"/>
      <c r="B25" s="201"/>
      <c r="C25" s="201"/>
      <c r="D25" s="201"/>
      <c r="E25" s="201"/>
      <c r="F25" s="201"/>
      <c r="G25" s="270"/>
      <c r="H25" s="270"/>
      <c r="I25" s="270"/>
      <c r="J25" s="270"/>
      <c r="K25" s="270"/>
      <c r="L25" s="270"/>
    </row>
    <row r="26" spans="1:12">
      <c r="A26" s="201"/>
      <c r="B26" s="201"/>
      <c r="C26" s="201"/>
      <c r="D26" s="201"/>
      <c r="E26" s="201"/>
      <c r="F26" s="201"/>
      <c r="G26" s="270"/>
      <c r="H26" s="270"/>
      <c r="I26" s="270"/>
      <c r="J26" s="270"/>
      <c r="K26" s="270"/>
      <c r="L26" s="270"/>
    </row>
    <row r="27" spans="1:12">
      <c r="A27" s="197"/>
      <c r="B27" s="196"/>
      <c r="C27" s="196"/>
      <c r="D27" s="196"/>
      <c r="E27" s="196"/>
      <c r="F27" s="196"/>
      <c r="G27" s="197"/>
      <c r="H27" s="196"/>
      <c r="I27" s="196"/>
      <c r="J27" s="196"/>
      <c r="K27" s="196"/>
      <c r="L27" s="196"/>
    </row>
    <row r="28" spans="1:12">
      <c r="A28" s="196"/>
      <c r="B28" s="196"/>
      <c r="C28" s="196"/>
      <c r="D28" s="196"/>
      <c r="E28" s="196"/>
      <c r="F28" s="196"/>
      <c r="G28" s="196"/>
      <c r="H28" s="196"/>
      <c r="I28" s="196"/>
      <c r="J28" s="196"/>
      <c r="K28" s="196"/>
      <c r="L28" s="196"/>
    </row>
    <row r="29" spans="1:12">
      <c r="A29" s="196"/>
      <c r="B29" s="196"/>
      <c r="C29" s="196"/>
      <c r="D29" s="196"/>
      <c r="E29" s="196"/>
      <c r="F29" s="196"/>
      <c r="G29" s="270"/>
      <c r="H29" s="270"/>
      <c r="I29" s="270"/>
      <c r="J29" s="270"/>
      <c r="K29" s="270"/>
      <c r="L29" s="270"/>
    </row>
    <row r="30" spans="1:12">
      <c r="A30" s="196"/>
      <c r="B30" s="196"/>
      <c r="C30" s="196"/>
      <c r="D30" s="196"/>
      <c r="E30" s="196"/>
      <c r="F30" s="196"/>
      <c r="G30" s="270"/>
      <c r="H30" s="270"/>
      <c r="I30" s="270"/>
      <c r="J30" s="270"/>
      <c r="K30" s="270"/>
      <c r="L30" s="270"/>
    </row>
    <row r="31" spans="1:12">
      <c r="A31" s="196"/>
      <c r="B31" s="196"/>
      <c r="C31" s="196"/>
      <c r="D31" s="196"/>
      <c r="E31" s="196"/>
      <c r="F31" s="196"/>
      <c r="G31" s="270"/>
      <c r="H31" s="270"/>
      <c r="I31" s="270"/>
      <c r="J31" s="270"/>
      <c r="K31" s="270"/>
      <c r="L31" s="270"/>
    </row>
    <row r="32" spans="1:12">
      <c r="A32" s="196"/>
      <c r="B32" s="196"/>
      <c r="C32" s="196"/>
      <c r="D32" s="196"/>
      <c r="E32" s="196"/>
      <c r="F32" s="196"/>
      <c r="G32" s="270"/>
      <c r="H32" s="270"/>
      <c r="I32" s="270"/>
      <c r="J32" s="270"/>
      <c r="K32" s="270"/>
      <c r="L32" s="270"/>
    </row>
    <row r="33" spans="1:12">
      <c r="A33" s="196"/>
      <c r="B33" s="196"/>
      <c r="C33" s="196"/>
      <c r="D33" s="196"/>
      <c r="E33" s="196"/>
      <c r="F33" s="196"/>
      <c r="G33" s="270"/>
      <c r="H33" s="270"/>
      <c r="I33" s="270"/>
      <c r="J33" s="270"/>
      <c r="K33" s="270"/>
      <c r="L33" s="270"/>
    </row>
    <row r="34" spans="1:12">
      <c r="A34" s="196"/>
      <c r="B34" s="196"/>
      <c r="C34" s="196"/>
      <c r="D34" s="196"/>
      <c r="E34" s="196"/>
      <c r="F34" s="196"/>
      <c r="G34" s="270"/>
      <c r="H34" s="270"/>
      <c r="I34" s="270"/>
      <c r="J34" s="270"/>
      <c r="K34" s="270"/>
      <c r="L34" s="270"/>
    </row>
    <row r="35" spans="1:12">
      <c r="A35" s="196"/>
      <c r="B35" s="196"/>
      <c r="C35" s="196"/>
      <c r="D35" s="196"/>
      <c r="E35" s="196"/>
      <c r="F35" s="196"/>
      <c r="G35" s="270"/>
      <c r="H35" s="270"/>
      <c r="I35" s="270"/>
      <c r="J35" s="270"/>
      <c r="K35" s="270"/>
      <c r="L35" s="270"/>
    </row>
    <row r="36" spans="1:12">
      <c r="A36" s="196"/>
      <c r="B36" s="196"/>
      <c r="C36" s="196"/>
      <c r="D36" s="196"/>
      <c r="E36" s="196"/>
      <c r="F36" s="196"/>
      <c r="G36" s="270"/>
      <c r="H36" s="270"/>
      <c r="I36" s="270"/>
      <c r="J36" s="270"/>
      <c r="K36" s="270"/>
      <c r="L36" s="270"/>
    </row>
    <row r="37" spans="1:12">
      <c r="A37" s="196"/>
      <c r="B37" s="196"/>
      <c r="C37" s="196"/>
      <c r="D37" s="196"/>
      <c r="E37" s="196"/>
      <c r="F37" s="196"/>
      <c r="G37" s="270"/>
      <c r="H37" s="270"/>
      <c r="I37" s="270"/>
      <c r="J37" s="270"/>
      <c r="K37" s="270"/>
      <c r="L37" s="270"/>
    </row>
    <row r="38" spans="1:12">
      <c r="A38" s="196"/>
      <c r="B38" s="196"/>
      <c r="C38" s="196"/>
      <c r="D38" s="196"/>
      <c r="E38" s="196"/>
      <c r="F38" s="196"/>
      <c r="G38" s="270"/>
      <c r="H38" s="270"/>
      <c r="I38" s="270"/>
      <c r="J38" s="270"/>
      <c r="K38" s="270"/>
      <c r="L38" s="270"/>
    </row>
    <row r="39" spans="1:12">
      <c r="A39" s="196"/>
      <c r="B39" s="196"/>
      <c r="C39" s="196"/>
      <c r="D39" s="196"/>
      <c r="E39" s="196"/>
      <c r="F39" s="196"/>
    </row>
    <row r="40" spans="1:12">
      <c r="A40" s="196"/>
      <c r="B40" s="196"/>
      <c r="C40" s="196"/>
      <c r="D40" s="196"/>
      <c r="E40" s="196"/>
      <c r="F40" s="196"/>
    </row>
    <row r="41" spans="1:12">
      <c r="A41" s="196"/>
      <c r="B41" s="196"/>
      <c r="C41" s="196"/>
      <c r="D41" s="196"/>
      <c r="E41" s="196"/>
      <c r="F41" s="196"/>
    </row>
    <row r="42" spans="1:12">
      <c r="A42" s="196"/>
      <c r="B42" s="196"/>
      <c r="C42" s="196"/>
      <c r="D42" s="196"/>
      <c r="E42" s="196"/>
      <c r="F42" s="196"/>
    </row>
    <row r="43" spans="1:12">
      <c r="A43" s="196"/>
      <c r="B43" s="196"/>
      <c r="C43" s="196"/>
      <c r="D43" s="196"/>
      <c r="E43" s="196"/>
      <c r="F43" s="196"/>
    </row>
    <row r="44" spans="1:12">
      <c r="A44" s="196"/>
      <c r="B44" s="196"/>
      <c r="C44" s="196"/>
      <c r="D44" s="196"/>
      <c r="E44" s="196"/>
      <c r="F44" s="196"/>
    </row>
    <row r="45" spans="1:12">
      <c r="A45" s="196"/>
      <c r="B45" s="196"/>
      <c r="C45" s="196"/>
      <c r="D45" s="196"/>
      <c r="E45" s="196"/>
      <c r="F45" s="196"/>
    </row>
    <row r="46" spans="1:12">
      <c r="A46" s="196"/>
      <c r="B46" s="196"/>
      <c r="C46" s="196"/>
      <c r="D46" s="196"/>
      <c r="E46" s="196"/>
      <c r="F46" s="196"/>
    </row>
    <row r="47" spans="1:12">
      <c r="A47" s="196"/>
      <c r="B47" s="196"/>
      <c r="C47" s="196"/>
      <c r="D47" s="196"/>
      <c r="E47" s="196"/>
      <c r="F47" s="196"/>
    </row>
    <row r="48" spans="1:12">
      <c r="A48" s="196"/>
      <c r="B48" s="196"/>
      <c r="C48" s="196"/>
      <c r="D48" s="196"/>
      <c r="E48" s="196"/>
      <c r="F48" s="196"/>
    </row>
    <row r="49" spans="1:6">
      <c r="A49" s="196"/>
      <c r="B49" s="196"/>
      <c r="C49" s="196"/>
      <c r="D49" s="196"/>
      <c r="E49" s="196"/>
      <c r="F49" s="196"/>
    </row>
    <row r="50" spans="1:6">
      <c r="A50" s="196"/>
      <c r="B50" s="196"/>
      <c r="C50" s="196"/>
      <c r="D50" s="196"/>
      <c r="E50" s="196"/>
      <c r="F50" s="196"/>
    </row>
    <row r="51" spans="1:6">
      <c r="A51" s="196"/>
      <c r="B51" s="196"/>
      <c r="C51" s="196"/>
      <c r="D51" s="196"/>
      <c r="E51" s="196"/>
      <c r="F51" s="196"/>
    </row>
    <row r="52" spans="1:6">
      <c r="A52" s="196"/>
      <c r="B52" s="196"/>
      <c r="C52" s="196"/>
      <c r="D52" s="196"/>
      <c r="E52" s="196"/>
      <c r="F52" s="196"/>
    </row>
    <row r="53" spans="1:6">
      <c r="A53" s="196"/>
      <c r="B53" s="196"/>
      <c r="C53" s="196"/>
      <c r="D53" s="196"/>
      <c r="E53" s="196"/>
      <c r="F53" s="196"/>
    </row>
    <row r="54" spans="1:6">
      <c r="A54" s="196"/>
      <c r="B54" s="196"/>
      <c r="C54" s="196"/>
      <c r="D54" s="196"/>
      <c r="E54" s="196"/>
      <c r="F54" s="196"/>
    </row>
    <row r="55" spans="1:6">
      <c r="A55" s="196"/>
      <c r="B55" s="196"/>
      <c r="C55" s="196"/>
      <c r="D55" s="196"/>
      <c r="E55" s="196"/>
      <c r="F55" s="196"/>
    </row>
    <row r="56" spans="1:6">
      <c r="A56" s="196"/>
      <c r="B56" s="196"/>
      <c r="C56" s="196"/>
      <c r="D56" s="196"/>
      <c r="E56" s="196"/>
      <c r="F56" s="196"/>
    </row>
    <row r="57" spans="1:6">
      <c r="A57" s="196"/>
      <c r="B57" s="196"/>
      <c r="C57" s="196"/>
      <c r="D57" s="196"/>
      <c r="E57" s="196"/>
      <c r="F57" s="196"/>
    </row>
    <row r="58" spans="1:6">
      <c r="A58" s="196"/>
      <c r="B58" s="196"/>
      <c r="C58" s="196"/>
      <c r="D58" s="196"/>
      <c r="E58" s="196"/>
      <c r="F58" s="196"/>
    </row>
    <row r="59" spans="1:6">
      <c r="A59" s="196"/>
      <c r="B59" s="196"/>
      <c r="C59" s="196"/>
      <c r="D59" s="196"/>
      <c r="E59" s="196"/>
      <c r="F59" s="196"/>
    </row>
    <row r="60" spans="1:6">
      <c r="A60" s="196"/>
      <c r="B60" s="196"/>
      <c r="C60" s="196"/>
      <c r="D60" s="196"/>
      <c r="E60" s="196"/>
      <c r="F60" s="196"/>
    </row>
    <row r="61" spans="1:6">
      <c r="A61" s="196"/>
      <c r="B61" s="196"/>
      <c r="C61" s="196"/>
      <c r="D61" s="196"/>
      <c r="E61" s="196"/>
      <c r="F61" s="196"/>
    </row>
    <row r="62" spans="1:6">
      <c r="A62" s="196"/>
      <c r="B62" s="196"/>
      <c r="C62" s="196"/>
      <c r="D62" s="196"/>
      <c r="E62" s="196"/>
      <c r="F62" s="19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31.03.2023&amp;C&amp;8&amp;P&amp;R&amp;8______________________________________________________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796875" defaultRowHeight="12"/>
  <cols>
    <col min="1" max="1" width="24.26953125" style="8" customWidth="1"/>
    <col min="2" max="4" width="8.7265625" style="34" customWidth="1"/>
    <col min="5" max="21" width="8.7265625" style="8" customWidth="1"/>
    <col min="22" max="16384" width="9.1796875" style="8"/>
  </cols>
  <sheetData>
    <row r="3" spans="1:24" ht="15" customHeight="1">
      <c r="A3" s="32"/>
      <c r="E3" s="34"/>
      <c r="I3" s="271"/>
      <c r="J3" s="271"/>
      <c r="K3" s="271"/>
      <c r="L3" s="271"/>
      <c r="M3" s="271"/>
      <c r="N3" s="271"/>
      <c r="O3" s="271"/>
      <c r="P3" s="271"/>
      <c r="Q3" s="271"/>
      <c r="R3" s="271"/>
    </row>
    <row r="4" spans="1:24" ht="15" customHeight="1">
      <c r="A4" s="35"/>
      <c r="B4" s="39" t="s">
        <v>64</v>
      </c>
      <c r="C4" s="81" t="s">
        <v>65</v>
      </c>
      <c r="D4" s="81" t="s">
        <v>66</v>
      </c>
      <c r="E4" s="81" t="s">
        <v>67</v>
      </c>
      <c r="F4" s="39" t="s">
        <v>68</v>
      </c>
      <c r="G4" s="39" t="s">
        <v>69</v>
      </c>
      <c r="H4" s="39" t="s">
        <v>111</v>
      </c>
      <c r="I4" s="39" t="s">
        <v>125</v>
      </c>
      <c r="J4" s="39" t="s">
        <v>131</v>
      </c>
      <c r="K4" s="39" t="s">
        <v>156</v>
      </c>
      <c r="L4" s="39" t="s">
        <v>230</v>
      </c>
      <c r="M4" s="39" t="s">
        <v>234</v>
      </c>
      <c r="N4" s="39" t="s">
        <v>261</v>
      </c>
      <c r="O4" s="39" t="s">
        <v>271</v>
      </c>
      <c r="P4" s="39" t="s">
        <v>271</v>
      </c>
      <c r="Q4" s="39"/>
      <c r="R4" s="39"/>
      <c r="S4" s="39"/>
      <c r="T4" s="39"/>
    </row>
    <row r="5" spans="1:24">
      <c r="A5" s="35" t="s">
        <v>126</v>
      </c>
      <c r="B5" s="84" t="e">
        <f>#REF!</f>
        <v>#REF!</v>
      </c>
      <c r="C5" s="84" t="e">
        <f>#REF!</f>
        <v>#REF!</v>
      </c>
      <c r="D5" s="84" t="e">
        <f>#REF!</f>
        <v>#REF!</v>
      </c>
      <c r="E5" s="84" t="e">
        <f>#REF!</f>
        <v>#REF!</v>
      </c>
      <c r="F5" s="84" t="e">
        <f>#REF!</f>
        <v>#REF!</v>
      </c>
      <c r="G5" s="84" t="e">
        <f>#REF!</f>
        <v>#REF!</v>
      </c>
      <c r="H5" s="84" t="e">
        <f>#REF!</f>
        <v>#REF!</v>
      </c>
      <c r="I5" s="84" t="e">
        <f>#REF!</f>
        <v>#REF!</v>
      </c>
      <c r="J5" s="84" t="e">
        <f>#REF!</f>
        <v>#REF!</v>
      </c>
      <c r="K5" s="84" t="e">
        <f>#REF!</f>
        <v>#REF!</v>
      </c>
      <c r="L5" s="84" t="e">
        <f>#REF!</f>
        <v>#REF!</v>
      </c>
      <c r="M5" s="84" t="e">
        <f>#REF!</f>
        <v>#REF!</v>
      </c>
      <c r="N5" s="84" t="e">
        <f>#REF!</f>
        <v>#REF!</v>
      </c>
      <c r="O5" s="84"/>
      <c r="P5" s="46"/>
      <c r="Q5" s="46"/>
      <c r="R5" s="46"/>
      <c r="S5" s="46"/>
      <c r="T5" s="80"/>
    </row>
    <row r="6" spans="1:24">
      <c r="A6" s="35" t="s">
        <v>127</v>
      </c>
      <c r="B6" s="84" t="e">
        <f>#REF!</f>
        <v>#REF!</v>
      </c>
      <c r="C6" s="84" t="e">
        <f>#REF!</f>
        <v>#REF!</v>
      </c>
      <c r="D6" s="84" t="e">
        <f>#REF!</f>
        <v>#REF!</v>
      </c>
      <c r="E6" s="84" t="e">
        <f>#REF!</f>
        <v>#REF!</v>
      </c>
      <c r="F6" s="84" t="e">
        <f>#REF!</f>
        <v>#REF!</v>
      </c>
      <c r="G6" s="84" t="e">
        <f>#REF!</f>
        <v>#REF!</v>
      </c>
      <c r="H6" s="84" t="e">
        <f>#REF!</f>
        <v>#REF!</v>
      </c>
      <c r="I6" s="84" t="e">
        <f>#REF!</f>
        <v>#REF!</v>
      </c>
      <c r="J6" s="84" t="e">
        <f>#REF!</f>
        <v>#REF!</v>
      </c>
      <c r="K6" s="84" t="e">
        <f>#REF!</f>
        <v>#REF!</v>
      </c>
      <c r="L6" s="84" t="e">
        <f>#REF!</f>
        <v>#REF!</v>
      </c>
      <c r="M6" s="84" t="e">
        <f>#REF!</f>
        <v>#REF!</v>
      </c>
      <c r="N6" s="84" t="e">
        <f>#REF!</f>
        <v>#REF!</v>
      </c>
      <c r="O6" s="84"/>
      <c r="P6" s="46"/>
      <c r="Q6" s="46"/>
      <c r="R6" s="46"/>
      <c r="S6" s="46"/>
      <c r="T6" s="80"/>
    </row>
    <row r="7" spans="1:24">
      <c r="A7" s="35" t="s">
        <v>9</v>
      </c>
      <c r="B7" s="84" t="e">
        <f>#REF!</f>
        <v>#REF!</v>
      </c>
      <c r="C7" s="84" t="e">
        <f>#REF!</f>
        <v>#REF!</v>
      </c>
      <c r="D7" s="84" t="e">
        <f>#REF!</f>
        <v>#REF!</v>
      </c>
      <c r="E7" s="84" t="e">
        <f>#REF!</f>
        <v>#REF!</v>
      </c>
      <c r="F7" s="84" t="e">
        <f>#REF!</f>
        <v>#REF!</v>
      </c>
      <c r="G7" s="84" t="e">
        <f>#REF!</f>
        <v>#REF!</v>
      </c>
      <c r="H7" s="84" t="e">
        <f>#REF!</f>
        <v>#REF!</v>
      </c>
      <c r="I7" s="84" t="e">
        <f>#REF!</f>
        <v>#REF!</v>
      </c>
      <c r="J7" s="84" t="e">
        <f>#REF!</f>
        <v>#REF!</v>
      </c>
      <c r="K7" s="84" t="e">
        <f>#REF!</f>
        <v>#REF!</v>
      </c>
      <c r="L7" s="84" t="e">
        <f>#REF!</f>
        <v>#REF!</v>
      </c>
      <c r="M7" s="84" t="e">
        <f>#REF!</f>
        <v>#REF!</v>
      </c>
      <c r="N7" s="84" t="e">
        <f>#REF!</f>
        <v>#REF!</v>
      </c>
      <c r="O7" s="84"/>
      <c r="P7" s="46"/>
      <c r="Q7" s="46"/>
      <c r="R7" s="46"/>
      <c r="S7" s="46"/>
    </row>
    <row r="8" spans="1:24">
      <c r="A8" s="35"/>
      <c r="C8" s="38"/>
      <c r="E8" s="37"/>
      <c r="F8" s="34"/>
      <c r="G8" s="37"/>
      <c r="H8" s="37"/>
      <c r="I8" s="84"/>
      <c r="J8" s="34"/>
      <c r="K8" s="34"/>
      <c r="L8" s="34"/>
      <c r="M8" s="34"/>
      <c r="N8" s="34"/>
      <c r="O8" s="34"/>
    </row>
    <row r="9" spans="1:24">
      <c r="A9" s="35" t="s">
        <v>128</v>
      </c>
      <c r="B9" s="84" t="e">
        <f>#REF!</f>
        <v>#REF!</v>
      </c>
      <c r="C9" s="84" t="e">
        <f>#REF!</f>
        <v>#REF!</v>
      </c>
      <c r="D9" s="84" t="e">
        <f>#REF!</f>
        <v>#REF!</v>
      </c>
      <c r="E9" s="84" t="e">
        <f>#REF!</f>
        <v>#REF!</v>
      </c>
      <c r="F9" s="84" t="e">
        <f>#REF!</f>
        <v>#REF!</v>
      </c>
      <c r="G9" s="84" t="e">
        <f>#REF!</f>
        <v>#REF!</v>
      </c>
      <c r="H9" s="84" t="e">
        <f>#REF!</f>
        <v>#REF!</v>
      </c>
      <c r="I9" s="84" t="e">
        <f>#REF!</f>
        <v>#REF!</v>
      </c>
      <c r="J9" s="84" t="e">
        <f>#REF!</f>
        <v>#REF!</v>
      </c>
      <c r="K9" s="84" t="e">
        <f>#REF!</f>
        <v>#REF!</v>
      </c>
      <c r="L9" s="84" t="e">
        <f>#REF!</f>
        <v>#REF!</v>
      </c>
      <c r="M9" s="84" t="e">
        <f>#REF!</f>
        <v>#REF!</v>
      </c>
      <c r="N9" s="84" t="e">
        <f>#REF!</f>
        <v>#REF!</v>
      </c>
      <c r="O9" s="84"/>
      <c r="P9" s="10"/>
      <c r="Q9" s="10"/>
      <c r="R9" s="10"/>
    </row>
    <row r="10" spans="1:24">
      <c r="A10" s="35" t="s">
        <v>129</v>
      </c>
      <c r="B10" s="84" t="e">
        <f>#REF!</f>
        <v>#REF!</v>
      </c>
      <c r="C10" s="84" t="e">
        <f>#REF!</f>
        <v>#REF!</v>
      </c>
      <c r="D10" s="84" t="e">
        <f>#REF!</f>
        <v>#REF!</v>
      </c>
      <c r="E10" s="84" t="e">
        <f>#REF!</f>
        <v>#REF!</v>
      </c>
      <c r="F10" s="84" t="e">
        <f>#REF!</f>
        <v>#REF!</v>
      </c>
      <c r="G10" s="84" t="e">
        <f>#REF!</f>
        <v>#REF!</v>
      </c>
      <c r="H10" s="84" t="e">
        <f>#REF!</f>
        <v>#REF!</v>
      </c>
      <c r="I10" s="84" t="e">
        <f>#REF!</f>
        <v>#REF!</v>
      </c>
      <c r="J10" s="84" t="e">
        <f>#REF!</f>
        <v>#REF!</v>
      </c>
      <c r="K10" s="84" t="e">
        <f>#REF!</f>
        <v>#REF!</v>
      </c>
      <c r="L10" s="84" t="e">
        <f>#REF!</f>
        <v>#REF!</v>
      </c>
      <c r="M10" s="84" t="e">
        <f>#REF!</f>
        <v>#REF!</v>
      </c>
      <c r="N10" s="84" t="e">
        <f>#REF!</f>
        <v>#REF!</v>
      </c>
      <c r="O10" s="84"/>
      <c r="P10" s="10"/>
      <c r="Q10" s="10"/>
      <c r="R10" s="10"/>
      <c r="X10" s="31"/>
    </row>
    <row r="11" spans="1:24">
      <c r="A11" s="35"/>
      <c r="C11" s="38"/>
      <c r="E11" s="37"/>
      <c r="F11" s="34"/>
      <c r="G11" s="37"/>
      <c r="H11" s="37"/>
      <c r="I11" s="34"/>
      <c r="J11" s="34"/>
      <c r="K11" s="34"/>
      <c r="L11" s="34"/>
      <c r="M11" s="34"/>
      <c r="N11" s="34"/>
      <c r="O11" s="34"/>
      <c r="X11" s="31"/>
    </row>
    <row r="12" spans="1:24">
      <c r="A12" s="35" t="s">
        <v>76</v>
      </c>
      <c r="B12" s="83" t="e">
        <f>#REF!</f>
        <v>#REF!</v>
      </c>
      <c r="C12" s="83" t="e">
        <f>#REF!</f>
        <v>#REF!</v>
      </c>
      <c r="D12" s="83" t="e">
        <f>#REF!</f>
        <v>#REF!</v>
      </c>
      <c r="E12" s="83" t="e">
        <f>#REF!</f>
        <v>#REF!</v>
      </c>
      <c r="F12" s="83" t="e">
        <f>#REF!</f>
        <v>#REF!</v>
      </c>
      <c r="G12" s="83" t="e">
        <f>#REF!</f>
        <v>#REF!</v>
      </c>
      <c r="H12" s="83" t="e">
        <f>#REF!</f>
        <v>#REF!</v>
      </c>
      <c r="I12" s="83" t="e">
        <f>#REF!</f>
        <v>#REF!</v>
      </c>
      <c r="J12" s="83" t="e">
        <f>#REF!</f>
        <v>#REF!</v>
      </c>
      <c r="K12" s="83" t="e">
        <f>#REF!</f>
        <v>#REF!</v>
      </c>
      <c r="L12" s="83" t="e">
        <f>#REF!</f>
        <v>#REF!</v>
      </c>
      <c r="M12" s="83" t="e">
        <f>#REF!</f>
        <v>#REF!</v>
      </c>
      <c r="N12" s="83" t="e">
        <f>#REF!</f>
        <v>#REF!</v>
      </c>
      <c r="O12" s="83"/>
    </row>
    <row r="13" spans="1:24">
      <c r="B13" s="38"/>
      <c r="C13" s="38"/>
      <c r="E13" s="37"/>
      <c r="F13" s="38"/>
      <c r="G13" s="37"/>
      <c r="H13" s="37"/>
      <c r="I13" s="34"/>
      <c r="J13" s="34"/>
      <c r="K13" s="34"/>
      <c r="L13" s="34"/>
      <c r="M13" s="34"/>
      <c r="N13" s="34"/>
      <c r="O13" s="34"/>
      <c r="X13" s="31"/>
    </row>
    <row r="14" spans="1:24">
      <c r="A14" s="35" t="s">
        <v>77</v>
      </c>
      <c r="B14" s="84" t="e">
        <f>#REF!</f>
        <v>#REF!</v>
      </c>
      <c r="C14" s="84" t="e">
        <f>#REF!</f>
        <v>#REF!</v>
      </c>
      <c r="D14" s="84" t="e">
        <f>#REF!</f>
        <v>#REF!</v>
      </c>
      <c r="E14" s="84" t="e">
        <f>#REF!</f>
        <v>#REF!</v>
      </c>
      <c r="F14" s="84" t="e">
        <f>#REF!</f>
        <v>#REF!</v>
      </c>
      <c r="G14" s="84" t="e">
        <f>#REF!</f>
        <v>#REF!</v>
      </c>
      <c r="H14" s="84" t="e">
        <f>#REF!</f>
        <v>#REF!</v>
      </c>
      <c r="I14" s="84" t="e">
        <f>#REF!</f>
        <v>#REF!</v>
      </c>
      <c r="J14" s="84" t="e">
        <f>#REF!</f>
        <v>#REF!</v>
      </c>
      <c r="K14" s="84" t="e">
        <f>#REF!</f>
        <v>#REF!</v>
      </c>
      <c r="L14" s="84" t="e">
        <f>#REF!</f>
        <v>#REF!</v>
      </c>
      <c r="M14" s="84" t="e">
        <f>#REF!</f>
        <v>#REF!</v>
      </c>
      <c r="N14" s="84" t="e">
        <f>#REF!</f>
        <v>#REF!</v>
      </c>
      <c r="O14" s="84"/>
      <c r="X14" s="31"/>
    </row>
    <row r="15" spans="1:24">
      <c r="A15" s="35" t="s">
        <v>143</v>
      </c>
      <c r="B15" s="84" t="e">
        <f>#REF!</f>
        <v>#REF!</v>
      </c>
      <c r="C15" s="84" t="e">
        <f>#REF!</f>
        <v>#REF!</v>
      </c>
      <c r="D15" s="84" t="e">
        <f>#REF!</f>
        <v>#REF!</v>
      </c>
      <c r="E15" s="84" t="e">
        <f>#REF!</f>
        <v>#REF!</v>
      </c>
      <c r="F15" s="84" t="e">
        <f>#REF!</f>
        <v>#REF!</v>
      </c>
      <c r="G15" s="84" t="e">
        <f>#REF!</f>
        <v>#REF!</v>
      </c>
      <c r="H15" s="84" t="e">
        <f>#REF!</f>
        <v>#REF!</v>
      </c>
      <c r="I15" s="84" t="e">
        <f>#REF!</f>
        <v>#REF!</v>
      </c>
      <c r="J15" s="84" t="e">
        <f>#REF!</f>
        <v>#REF!</v>
      </c>
      <c r="K15" s="84" t="e">
        <f>#REF!</f>
        <v>#REF!</v>
      </c>
      <c r="L15" s="84" t="e">
        <f>#REF!</f>
        <v>#REF!</v>
      </c>
      <c r="M15" s="84" t="e">
        <f>#REF!</f>
        <v>#REF!</v>
      </c>
      <c r="N15" s="84" t="e">
        <f>#REF!</f>
        <v>#REF!</v>
      </c>
      <c r="O15" s="84"/>
      <c r="X15" s="31"/>
    </row>
    <row r="16" spans="1:24">
      <c r="A16" s="35"/>
      <c r="C16" s="38"/>
      <c r="E16" s="37"/>
      <c r="F16" s="38"/>
      <c r="G16" s="37"/>
      <c r="H16" s="37"/>
      <c r="I16" s="34"/>
      <c r="J16" s="34"/>
      <c r="K16" s="34"/>
      <c r="L16" s="34"/>
      <c r="M16" s="34"/>
      <c r="N16" s="34"/>
      <c r="O16" s="34"/>
      <c r="X16" s="31"/>
    </row>
    <row r="17" spans="1:24">
      <c r="A17" s="35" t="s">
        <v>61</v>
      </c>
      <c r="B17" s="84" t="e">
        <f>#REF!</f>
        <v>#REF!</v>
      </c>
      <c r="C17" s="84" t="e">
        <f>#REF!</f>
        <v>#REF!</v>
      </c>
      <c r="D17" s="84" t="e">
        <f>#REF!</f>
        <v>#REF!</v>
      </c>
      <c r="E17" s="84" t="e">
        <f>#REF!</f>
        <v>#REF!</v>
      </c>
      <c r="F17" s="84" t="e">
        <f>#REF!</f>
        <v>#REF!</v>
      </c>
      <c r="G17" s="84" t="e">
        <f>#REF!</f>
        <v>#REF!</v>
      </c>
      <c r="H17" s="84" t="e">
        <f>#REF!</f>
        <v>#REF!</v>
      </c>
      <c r="I17" s="84" t="e">
        <f>#REF!</f>
        <v>#REF!</v>
      </c>
      <c r="J17" s="84" t="e">
        <f>#REF!</f>
        <v>#REF!</v>
      </c>
      <c r="K17" s="84" t="e">
        <f>#REF!</f>
        <v>#REF!</v>
      </c>
      <c r="L17" s="84" t="e">
        <f>#REF!</f>
        <v>#REF!</v>
      </c>
      <c r="M17" s="84" t="e">
        <f>#REF!</f>
        <v>#REF!</v>
      </c>
      <c r="N17" s="84" t="e">
        <f>#REF!</f>
        <v>#REF!</v>
      </c>
      <c r="O17" s="84"/>
    </row>
    <row r="18" spans="1:24">
      <c r="A18" s="35" t="s">
        <v>35</v>
      </c>
      <c r="B18" s="84" t="e">
        <f>#REF!</f>
        <v>#REF!</v>
      </c>
      <c r="C18" s="84" t="e">
        <f>#REF!</f>
        <v>#REF!</v>
      </c>
      <c r="D18" s="84" t="e">
        <f>#REF!</f>
        <v>#REF!</v>
      </c>
      <c r="E18" s="84" t="e">
        <f>#REF!</f>
        <v>#REF!</v>
      </c>
      <c r="F18" s="84" t="e">
        <f>#REF!</f>
        <v>#REF!</v>
      </c>
      <c r="G18" s="84" t="e">
        <f>#REF!</f>
        <v>#REF!</v>
      </c>
      <c r="H18" s="84" t="e">
        <f>#REF!</f>
        <v>#REF!</v>
      </c>
      <c r="I18" s="84" t="e">
        <f>#REF!</f>
        <v>#REF!</v>
      </c>
      <c r="J18" s="84" t="e">
        <f>#REF!</f>
        <v>#REF!</v>
      </c>
      <c r="K18" s="84" t="e">
        <f>#REF!</f>
        <v>#REF!</v>
      </c>
      <c r="L18" s="84" t="e">
        <f>#REF!</f>
        <v>#REF!</v>
      </c>
      <c r="M18" s="84" t="e">
        <f>#REF!</f>
        <v>#REF!</v>
      </c>
      <c r="N18" s="84" t="e">
        <f>#REF!</f>
        <v>#REF!</v>
      </c>
      <c r="O18" s="84"/>
    </row>
    <row r="19" spans="1:24">
      <c r="A19" s="8" t="s">
        <v>41</v>
      </c>
      <c r="B19" s="83" t="e">
        <f>#REF!</f>
        <v>#REF!</v>
      </c>
      <c r="C19" s="83" t="e">
        <f>#REF!</f>
        <v>#REF!</v>
      </c>
      <c r="D19" s="83" t="e">
        <f>#REF!</f>
        <v>#REF!</v>
      </c>
      <c r="E19" s="83" t="e">
        <f>#REF!</f>
        <v>#REF!</v>
      </c>
      <c r="F19" s="83" t="e">
        <f>#REF!</f>
        <v>#REF!</v>
      </c>
      <c r="G19" s="83" t="e">
        <f>#REF!</f>
        <v>#REF!</v>
      </c>
      <c r="H19" s="83" t="e">
        <f>#REF!</f>
        <v>#REF!</v>
      </c>
      <c r="I19" s="83" t="e">
        <f>#REF!</f>
        <v>#REF!</v>
      </c>
      <c r="J19" s="83" t="e">
        <f>#REF!</f>
        <v>#REF!</v>
      </c>
      <c r="K19" s="83" t="e">
        <f>#REF!</f>
        <v>#REF!</v>
      </c>
      <c r="L19" s="83" t="e">
        <f>#REF!</f>
        <v>#REF!</v>
      </c>
      <c r="M19" s="83" t="e">
        <f>#REF!</f>
        <v>#REF!</v>
      </c>
      <c r="N19" s="83" t="e">
        <f>#REF!</f>
        <v>#REF!</v>
      </c>
      <c r="O19" s="83"/>
    </row>
    <row r="20" spans="1:24">
      <c r="A20" s="8" t="s">
        <v>240</v>
      </c>
      <c r="B20" s="83" t="e">
        <f>#REF!</f>
        <v>#REF!</v>
      </c>
      <c r="C20" s="83" t="e">
        <f>#REF!</f>
        <v>#REF!</v>
      </c>
      <c r="D20" s="83" t="e">
        <f>#REF!</f>
        <v>#REF!</v>
      </c>
      <c r="E20" s="83" t="e">
        <f>#REF!</f>
        <v>#REF!</v>
      </c>
      <c r="F20" s="83" t="e">
        <f>#REF!</f>
        <v>#REF!</v>
      </c>
      <c r="G20" s="83" t="e">
        <f>#REF!</f>
        <v>#REF!</v>
      </c>
      <c r="H20" s="83" t="e">
        <f>#REF!</f>
        <v>#REF!</v>
      </c>
      <c r="I20" s="83" t="e">
        <f>#REF!</f>
        <v>#REF!</v>
      </c>
      <c r="J20" s="83" t="e">
        <f>#REF!</f>
        <v>#REF!</v>
      </c>
      <c r="K20" s="83" t="e">
        <f>#REF!</f>
        <v>#REF!</v>
      </c>
      <c r="L20" s="83" t="e">
        <f>#REF!</f>
        <v>#REF!</v>
      </c>
      <c r="M20" s="83" t="e">
        <f>#REF!</f>
        <v>#REF!</v>
      </c>
      <c r="N20" s="83" t="e">
        <f>#REF!</f>
        <v>#REF!</v>
      </c>
    </row>
    <row r="21" spans="1:24">
      <c r="A21" s="11" t="s">
        <v>150</v>
      </c>
      <c r="E21" s="34"/>
      <c r="F21" s="34"/>
      <c r="G21" s="37"/>
      <c r="H21" s="37"/>
      <c r="I21" s="84"/>
      <c r="J21" s="34"/>
    </row>
    <row r="22" spans="1:24">
      <c r="A22" s="8" t="s">
        <v>144</v>
      </c>
      <c r="C22" s="85">
        <f>'LB_Q old'!D121</f>
        <v>198451</v>
      </c>
      <c r="D22" s="85">
        <f>'LB_Q old'!E121</f>
        <v>199339.59742699997</v>
      </c>
      <c r="E22" s="85">
        <f>'LB_Q old'!F121</f>
        <v>165270</v>
      </c>
      <c r="F22" s="85">
        <f>'LB_Q old'!G121</f>
        <v>66799</v>
      </c>
      <c r="G22" s="85">
        <f>'LB_Q old'!H121</f>
        <v>63982</v>
      </c>
      <c r="H22" s="85">
        <f>'LB_Q old'!I121</f>
        <v>72304</v>
      </c>
      <c r="I22" s="85">
        <f>'LB_Q old'!J121</f>
        <v>68693</v>
      </c>
      <c r="J22" s="85">
        <f>'LB_Q old'!K121</f>
        <v>66619</v>
      </c>
      <c r="K22" s="85">
        <f>'LB_Q old'!L121</f>
        <v>49997</v>
      </c>
      <c r="L22" s="85">
        <f>'LB_Q old'!M121</f>
        <v>38564</v>
      </c>
      <c r="M22" s="85">
        <f>'LB_Q old'!N121</f>
        <v>31555</v>
      </c>
      <c r="N22" s="85">
        <f>'LB_Q old'!O121</f>
        <v>27866</v>
      </c>
      <c r="O22" s="85"/>
      <c r="X22" s="31"/>
    </row>
    <row r="23" spans="1:24">
      <c r="A23" s="8" t="s">
        <v>145</v>
      </c>
      <c r="C23" s="85">
        <f>'LB_Q old'!D122</f>
        <v>44239</v>
      </c>
      <c r="D23" s="85">
        <f>'LB_Q old'!E122</f>
        <v>30579.656693361667</v>
      </c>
      <c r="E23" s="85">
        <f>'LB_Q old'!F122</f>
        <v>24789</v>
      </c>
      <c r="F23" s="85">
        <f>'LB_Q old'!G122</f>
        <v>19652</v>
      </c>
      <c r="G23" s="85">
        <f>'LB_Q old'!H122</f>
        <v>24684</v>
      </c>
      <c r="H23" s="85">
        <f>'LB_Q old'!I122</f>
        <v>24112</v>
      </c>
      <c r="I23" s="85">
        <f>'LB_Q old'!J122</f>
        <v>21061</v>
      </c>
      <c r="J23" s="85">
        <f>'LB_Q old'!K122</f>
        <v>17271</v>
      </c>
      <c r="K23" s="85">
        <f>'LB_Q old'!L122</f>
        <v>20574.054725999998</v>
      </c>
      <c r="L23" s="85">
        <f>'LB_Q old'!M122</f>
        <v>18949</v>
      </c>
      <c r="M23" s="85">
        <f>'LB_Q old'!N122</f>
        <v>16747</v>
      </c>
      <c r="N23" s="85">
        <f>'LB_Q old'!O122</f>
        <v>19360.249524309998</v>
      </c>
      <c r="O23" s="85"/>
    </row>
    <row r="24" spans="1:24">
      <c r="A24" s="11" t="s">
        <v>26</v>
      </c>
      <c r="B24" s="66">
        <f>SUM(B22:B23)</f>
        <v>0</v>
      </c>
      <c r="C24" s="66">
        <f t="shared" ref="C24:N24" si="0">SUM(C22:C23)</f>
        <v>242690</v>
      </c>
      <c r="D24" s="66">
        <f t="shared" si="0"/>
        <v>229919.25412036164</v>
      </c>
      <c r="E24" s="66">
        <f t="shared" si="0"/>
        <v>190059</v>
      </c>
      <c r="F24" s="66">
        <f t="shared" si="0"/>
        <v>86451</v>
      </c>
      <c r="G24" s="66">
        <f t="shared" si="0"/>
        <v>88666</v>
      </c>
      <c r="H24" s="66">
        <f t="shared" si="0"/>
        <v>96416</v>
      </c>
      <c r="I24" s="66">
        <f t="shared" si="0"/>
        <v>89754</v>
      </c>
      <c r="J24" s="66">
        <f t="shared" si="0"/>
        <v>83890</v>
      </c>
      <c r="K24" s="66">
        <f t="shared" si="0"/>
        <v>70571.054726000002</v>
      </c>
      <c r="L24" s="66">
        <f t="shared" si="0"/>
        <v>57513</v>
      </c>
      <c r="M24" s="66">
        <f>SUM(M22:M23)</f>
        <v>48302</v>
      </c>
      <c r="N24" s="66">
        <f t="shared" si="0"/>
        <v>47226.249524309998</v>
      </c>
      <c r="O24" s="66"/>
    </row>
    <row r="25" spans="1:24">
      <c r="A25" s="8" t="s">
        <v>146</v>
      </c>
      <c r="B25" s="86" t="e">
        <f>#REF!</f>
        <v>#REF!</v>
      </c>
      <c r="C25" s="86" t="e">
        <f>#REF!</f>
        <v>#REF!</v>
      </c>
      <c r="D25" s="86" t="e">
        <f>#REF!</f>
        <v>#REF!</v>
      </c>
      <c r="E25" s="86" t="e">
        <f>#REF!</f>
        <v>#REF!</v>
      </c>
      <c r="F25" s="86" t="e">
        <f>#REF!</f>
        <v>#REF!</v>
      </c>
      <c r="G25" s="86" t="e">
        <f>#REF!</f>
        <v>#REF!</v>
      </c>
      <c r="H25" s="86" t="e">
        <f>#REF!</f>
        <v>#REF!</v>
      </c>
      <c r="I25" s="86" t="e">
        <f>#REF!</f>
        <v>#REF!</v>
      </c>
      <c r="J25" s="86" t="e">
        <f>#REF!</f>
        <v>#REF!</v>
      </c>
      <c r="K25" s="86" t="e">
        <f>#REF!</f>
        <v>#REF!</v>
      </c>
      <c r="L25" s="86" t="e">
        <f>#REF!</f>
        <v>#REF!</v>
      </c>
      <c r="M25" s="86" t="e">
        <f>#REF!</f>
        <v>#REF!</v>
      </c>
      <c r="N25" s="86" t="e">
        <f>#REF!</f>
        <v>#REF!</v>
      </c>
      <c r="O25" s="86"/>
    </row>
    <row r="26" spans="1:24">
      <c r="A26" s="82" t="s">
        <v>29</v>
      </c>
      <c r="B26" s="87" t="e">
        <f t="shared" ref="B26:G26" si="1">B24/B25</f>
        <v>#REF!</v>
      </c>
      <c r="C26" s="87" t="e">
        <f t="shared" si="1"/>
        <v>#REF!</v>
      </c>
      <c r="D26" s="87" t="e">
        <f t="shared" si="1"/>
        <v>#REF!</v>
      </c>
      <c r="E26" s="87" t="e">
        <f t="shared" si="1"/>
        <v>#REF!</v>
      </c>
      <c r="F26" s="87" t="e">
        <f t="shared" si="1"/>
        <v>#REF!</v>
      </c>
      <c r="G26" s="87" t="e">
        <f t="shared" si="1"/>
        <v>#REF!</v>
      </c>
      <c r="H26" s="87" t="e">
        <f>H24/H25</f>
        <v>#REF!</v>
      </c>
      <c r="I26" s="87" t="e">
        <f t="shared" ref="I26:N26" si="2">I24/I25</f>
        <v>#REF!</v>
      </c>
      <c r="J26" s="87" t="e">
        <f t="shared" si="2"/>
        <v>#REF!</v>
      </c>
      <c r="K26" s="87" t="e">
        <f t="shared" si="2"/>
        <v>#REF!</v>
      </c>
      <c r="L26" s="87" t="e">
        <f t="shared" si="2"/>
        <v>#REF!</v>
      </c>
      <c r="M26" s="87" t="e">
        <f>M24/M25</f>
        <v>#REF!</v>
      </c>
      <c r="N26" s="87" t="e">
        <f t="shared" si="2"/>
        <v>#REF!</v>
      </c>
      <c r="O26" s="87"/>
    </row>
    <row r="27" spans="1:24">
      <c r="A27" s="8" t="s">
        <v>233</v>
      </c>
      <c r="B27" s="8"/>
      <c r="C27" s="10" t="e">
        <f>+C23/C25</f>
        <v>#REF!</v>
      </c>
      <c r="D27" s="10" t="e">
        <f t="shared" ref="D27:N27" si="3">+D23/D25</f>
        <v>#REF!</v>
      </c>
      <c r="E27" s="10" t="e">
        <f t="shared" si="3"/>
        <v>#REF!</v>
      </c>
      <c r="F27" s="10" t="e">
        <f t="shared" si="3"/>
        <v>#REF!</v>
      </c>
      <c r="G27" s="10" t="e">
        <f t="shared" si="3"/>
        <v>#REF!</v>
      </c>
      <c r="H27" s="10" t="e">
        <f t="shared" si="3"/>
        <v>#REF!</v>
      </c>
      <c r="I27" s="10" t="e">
        <f t="shared" si="3"/>
        <v>#REF!</v>
      </c>
      <c r="J27" s="10" t="e">
        <f t="shared" si="3"/>
        <v>#REF!</v>
      </c>
      <c r="K27" s="10" t="e">
        <f t="shared" si="3"/>
        <v>#REF!</v>
      </c>
      <c r="L27" s="10" t="e">
        <f t="shared" si="3"/>
        <v>#REF!</v>
      </c>
      <c r="M27" s="10" t="e">
        <f>+M23/M25</f>
        <v>#REF!</v>
      </c>
      <c r="N27" s="10" t="e">
        <f t="shared" si="3"/>
        <v>#REF!</v>
      </c>
      <c r="O27" s="10"/>
      <c r="X27" s="31"/>
    </row>
    <row r="28" spans="1:24">
      <c r="A28" s="11" t="s">
        <v>149</v>
      </c>
      <c r="F28" s="35"/>
      <c r="G28" s="36"/>
      <c r="H28" s="36"/>
      <c r="X28" s="31"/>
    </row>
    <row r="29" spans="1:24">
      <c r="A29" s="35" t="s">
        <v>147</v>
      </c>
      <c r="B29" s="86"/>
      <c r="C29" s="86">
        <v>241929</v>
      </c>
      <c r="D29" s="86"/>
      <c r="E29" s="86"/>
      <c r="F29" s="86"/>
      <c r="G29" s="86">
        <v>110758</v>
      </c>
      <c r="H29" s="86">
        <v>117875</v>
      </c>
      <c r="I29" s="86">
        <v>120668</v>
      </c>
      <c r="J29" s="86">
        <v>122011</v>
      </c>
      <c r="X29" s="31"/>
    </row>
    <row r="30" spans="1:24">
      <c r="A30" s="82" t="s">
        <v>148</v>
      </c>
      <c r="B30" s="86">
        <f>'LB_Q old'!I4+'LB_Q old'!I8+'LB_Q old'!I9</f>
        <v>474952</v>
      </c>
      <c r="C30" s="86">
        <f>'LB_Q old'!J4+'LB_Q old'!J8+'LB_Q old'!J9</f>
        <v>493062</v>
      </c>
      <c r="D30" s="86">
        <f>'LB_Q old'!K4+'LB_Q old'!K8+'LB_Q old'!K9</f>
        <v>469907</v>
      </c>
      <c r="E30" s="86">
        <f>'LB_Q old'!L4+'LB_Q old'!L8+'LB_Q old'!L9</f>
        <v>488406</v>
      </c>
      <c r="F30" s="86">
        <f>'LB_Q old'!M4+'LB_Q old'!M8+'LB_Q old'!M9</f>
        <v>487316</v>
      </c>
      <c r="G30" s="86">
        <f>'LB_Q old'!N4+'LB_Q old'!N8+'LB_Q old'!N9</f>
        <v>617839</v>
      </c>
      <c r="H30" s="86">
        <f>'LB_Q old'!O4+'LB_Q old'!O8+'LB_Q old'!O9</f>
        <v>636890</v>
      </c>
      <c r="I30" s="86">
        <f>'LB_Q old'!P4+'LB_Q old'!P8+'LB_Q old'!P9</f>
        <v>636038</v>
      </c>
      <c r="J30" s="86">
        <f>'LB_Q old'!R4+'LB_Q old'!R8+'LB_Q old'!R9</f>
        <v>626391</v>
      </c>
    </row>
    <row r="31" spans="1:24">
      <c r="A31" s="82" t="s">
        <v>29</v>
      </c>
      <c r="B31" s="87">
        <f t="shared" ref="B31:J31" si="4">B29/B30</f>
        <v>0</v>
      </c>
      <c r="C31" s="87">
        <f t="shared" si="4"/>
        <v>0.4906664881901262</v>
      </c>
      <c r="D31" s="87">
        <f t="shared" si="4"/>
        <v>0</v>
      </c>
      <c r="E31" s="87">
        <f t="shared" si="4"/>
        <v>0</v>
      </c>
      <c r="F31" s="87">
        <f t="shared" si="4"/>
        <v>0</v>
      </c>
      <c r="G31" s="87">
        <f t="shared" si="4"/>
        <v>0.17926676690853119</v>
      </c>
      <c r="H31" s="87">
        <f t="shared" si="4"/>
        <v>0.18507905603793434</v>
      </c>
      <c r="I31" s="87">
        <f t="shared" si="4"/>
        <v>0.18971822438281991</v>
      </c>
      <c r="J31" s="87">
        <f t="shared" si="4"/>
        <v>0.19478408853256193</v>
      </c>
    </row>
    <row r="32" spans="1:24">
      <c r="F32" s="32"/>
      <c r="G32" s="36"/>
      <c r="H32" s="36"/>
    </row>
    <row r="33" spans="1:24">
      <c r="A33" s="35"/>
      <c r="F33" s="32"/>
      <c r="G33" s="36"/>
      <c r="H33" s="36"/>
    </row>
    <row r="34" spans="1:24">
      <c r="A34" s="35"/>
      <c r="F34" s="32"/>
      <c r="G34" s="36"/>
      <c r="H34" s="36"/>
    </row>
    <row r="35" spans="1:24">
      <c r="A35" s="35"/>
      <c r="F35" s="32"/>
      <c r="G35" s="36"/>
      <c r="H35" s="36"/>
      <c r="I35" s="10"/>
    </row>
    <row r="36" spans="1:24">
      <c r="A36" s="35"/>
      <c r="F36" s="32"/>
      <c r="G36" s="36"/>
      <c r="H36" s="36"/>
    </row>
    <row r="37" spans="1:24">
      <c r="A37" s="35"/>
      <c r="B37" s="39" t="str">
        <f t="shared" ref="B37:O37" si="5">+B4</f>
        <v>Q3 10</v>
      </c>
      <c r="C37" s="39" t="str">
        <f t="shared" si="5"/>
        <v>Q4 10</v>
      </c>
      <c r="D37" s="39" t="str">
        <f t="shared" si="5"/>
        <v>Q1 11</v>
      </c>
      <c r="E37" s="39" t="str">
        <f t="shared" si="5"/>
        <v>Q2 11</v>
      </c>
      <c r="F37" s="39" t="str">
        <f t="shared" si="5"/>
        <v>Q3 11</v>
      </c>
      <c r="G37" s="39" t="str">
        <f t="shared" si="5"/>
        <v>Q4 11</v>
      </c>
      <c r="H37" s="39" t="str">
        <f t="shared" si="5"/>
        <v>Q1 12</v>
      </c>
      <c r="I37" s="39" t="str">
        <f t="shared" si="5"/>
        <v>Q2 12</v>
      </c>
      <c r="J37" s="39" t="str">
        <f t="shared" si="5"/>
        <v>Q3 12</v>
      </c>
      <c r="K37" s="39" t="str">
        <f t="shared" si="5"/>
        <v>Q4 12</v>
      </c>
      <c r="L37" s="39" t="str">
        <f t="shared" si="5"/>
        <v>Q1 13</v>
      </c>
      <c r="M37" s="39" t="str">
        <f>+M4</f>
        <v>Q2 13</v>
      </c>
      <c r="N37" s="39" t="str">
        <f t="shared" si="5"/>
        <v>Q3 13</v>
      </c>
      <c r="O37" s="39" t="str">
        <f t="shared" si="5"/>
        <v>Q1 14</v>
      </c>
      <c r="S37" s="11">
        <v>2010</v>
      </c>
      <c r="T37" s="11">
        <v>2011</v>
      </c>
      <c r="U37" s="11">
        <v>2012</v>
      </c>
      <c r="V37" s="39" t="s">
        <v>238</v>
      </c>
      <c r="W37" s="39" t="s">
        <v>237</v>
      </c>
    </row>
    <row r="38" spans="1:24">
      <c r="A38" s="39" t="s">
        <v>79</v>
      </c>
      <c r="B38" s="42" t="e">
        <f t="shared" ref="B38:N38" si="6">B5*100</f>
        <v>#REF!</v>
      </c>
      <c r="C38" s="42" t="e">
        <f t="shared" si="6"/>
        <v>#REF!</v>
      </c>
      <c r="D38" s="42" t="e">
        <f t="shared" si="6"/>
        <v>#REF!</v>
      </c>
      <c r="E38" s="42" t="e">
        <f t="shared" si="6"/>
        <v>#REF!</v>
      </c>
      <c r="F38" s="42" t="e">
        <f t="shared" si="6"/>
        <v>#REF!</v>
      </c>
      <c r="G38" s="42" t="e">
        <f t="shared" si="6"/>
        <v>#REF!</v>
      </c>
      <c r="H38" s="42" t="e">
        <f t="shared" si="6"/>
        <v>#REF!</v>
      </c>
      <c r="I38" s="42" t="e">
        <f t="shared" si="6"/>
        <v>#REF!</v>
      </c>
      <c r="J38" s="42" t="e">
        <f t="shared" si="6"/>
        <v>#REF!</v>
      </c>
      <c r="K38" s="42" t="e">
        <f t="shared" si="6"/>
        <v>#REF!</v>
      </c>
      <c r="L38" s="42" t="e">
        <f t="shared" si="6"/>
        <v>#REF!</v>
      </c>
      <c r="M38" s="42" t="e">
        <f>M5*100</f>
        <v>#REF!</v>
      </c>
      <c r="N38" s="42" t="e">
        <f t="shared" si="6"/>
        <v>#REF!</v>
      </c>
      <c r="O38" s="42"/>
      <c r="S38" s="8">
        <v>13.4</v>
      </c>
      <c r="T38" s="8">
        <v>10.5</v>
      </c>
      <c r="U38" s="8">
        <v>13.8</v>
      </c>
      <c r="V38" s="8">
        <v>18.8</v>
      </c>
      <c r="W38" s="42" t="e">
        <f>#REF!*100</f>
        <v>#REF!</v>
      </c>
    </row>
    <row r="39" spans="1:24">
      <c r="A39" s="39" t="s">
        <v>255</v>
      </c>
      <c r="B39" s="38"/>
      <c r="E39" s="42">
        <v>10.5</v>
      </c>
      <c r="F39" s="42">
        <v>10.5</v>
      </c>
      <c r="G39" s="42">
        <v>10.5</v>
      </c>
      <c r="H39" s="42">
        <v>10.5</v>
      </c>
      <c r="I39" s="42">
        <v>10.5</v>
      </c>
      <c r="J39" s="42">
        <v>10.5</v>
      </c>
      <c r="K39" s="42">
        <v>10.5</v>
      </c>
      <c r="L39" s="42">
        <v>10.5</v>
      </c>
      <c r="M39" s="42">
        <v>10.5</v>
      </c>
      <c r="N39" s="42">
        <v>10.5</v>
      </c>
    </row>
    <row r="40" spans="1:24">
      <c r="A40" s="35"/>
      <c r="B40" s="38"/>
      <c r="F40" s="35"/>
      <c r="G40" s="36"/>
      <c r="H40" s="36"/>
    </row>
    <row r="41" spans="1:24">
      <c r="A41" s="35"/>
      <c r="B41" s="38"/>
      <c r="F41" s="35"/>
      <c r="G41" s="36"/>
      <c r="H41" s="36"/>
    </row>
    <row r="42" spans="1:24">
      <c r="A42" s="35"/>
      <c r="F42" s="35"/>
      <c r="G42" s="36"/>
      <c r="H42" s="36"/>
      <c r="X42" s="31"/>
    </row>
    <row r="43" spans="1:24">
      <c r="A43" s="35"/>
      <c r="F43" s="35"/>
      <c r="G43" s="36"/>
      <c r="H43" s="36"/>
      <c r="X43" s="31"/>
    </row>
    <row r="44" spans="1:24">
      <c r="A44" s="35"/>
      <c r="F44" s="35"/>
      <c r="G44" s="36"/>
      <c r="H44" s="36"/>
    </row>
    <row r="45" spans="1:24">
      <c r="A45" s="35"/>
      <c r="F45" s="32"/>
      <c r="G45" s="36"/>
      <c r="H45" s="36"/>
    </row>
    <row r="46" spans="1:24">
      <c r="F46" s="32"/>
    </row>
    <row r="47" spans="1:24">
      <c r="F47" s="32"/>
    </row>
    <row r="48" spans="1:24">
      <c r="F48" s="32"/>
    </row>
    <row r="49" spans="1:21">
      <c r="F49" s="32"/>
    </row>
    <row r="50" spans="1:21">
      <c r="F50" s="32"/>
    </row>
    <row r="51" spans="1:21">
      <c r="B51" s="39" t="str">
        <f>B37</f>
        <v>Q3 10</v>
      </c>
      <c r="C51" s="39" t="str">
        <f t="shared" ref="C51:N51" si="7">C37</f>
        <v>Q4 10</v>
      </c>
      <c r="D51" s="39" t="str">
        <f t="shared" si="7"/>
        <v>Q1 11</v>
      </c>
      <c r="E51" s="39" t="str">
        <f t="shared" si="7"/>
        <v>Q2 11</v>
      </c>
      <c r="F51" s="39" t="str">
        <f t="shared" si="7"/>
        <v>Q3 11</v>
      </c>
      <c r="G51" s="39" t="str">
        <f t="shared" si="7"/>
        <v>Q4 11</v>
      </c>
      <c r="H51" s="39" t="str">
        <f t="shared" si="7"/>
        <v>Q1 12</v>
      </c>
      <c r="I51" s="39" t="str">
        <f t="shared" si="7"/>
        <v>Q2 12</v>
      </c>
      <c r="J51" s="39" t="str">
        <f t="shared" si="7"/>
        <v>Q3 12</v>
      </c>
      <c r="K51" s="39" t="str">
        <f t="shared" si="7"/>
        <v>Q4 12</v>
      </c>
      <c r="L51" s="39" t="str">
        <f t="shared" si="7"/>
        <v>Q1 13</v>
      </c>
      <c r="M51" s="39" t="str">
        <f t="shared" si="7"/>
        <v>Q2 13</v>
      </c>
      <c r="N51" s="39" t="str">
        <f t="shared" si="7"/>
        <v>Q3 13</v>
      </c>
      <c r="O51" s="39"/>
      <c r="Q51" s="11">
        <v>2010</v>
      </c>
      <c r="R51" s="11">
        <v>2011</v>
      </c>
      <c r="S51" s="11">
        <v>2012</v>
      </c>
      <c r="T51" s="39" t="s">
        <v>238</v>
      </c>
      <c r="U51" s="39" t="s">
        <v>237</v>
      </c>
    </row>
    <row r="52" spans="1:21">
      <c r="A52" s="39" t="s">
        <v>9</v>
      </c>
      <c r="B52" s="88" t="e">
        <f t="shared" ref="B52:N52" si="8">B7*100</f>
        <v>#REF!</v>
      </c>
      <c r="C52" s="88" t="e">
        <f t="shared" si="8"/>
        <v>#REF!</v>
      </c>
      <c r="D52" s="88" t="e">
        <f t="shared" si="8"/>
        <v>#REF!</v>
      </c>
      <c r="E52" s="88" t="e">
        <f t="shared" si="8"/>
        <v>#REF!</v>
      </c>
      <c r="F52" s="88" t="e">
        <f t="shared" si="8"/>
        <v>#REF!</v>
      </c>
      <c r="G52" s="88" t="e">
        <f t="shared" si="8"/>
        <v>#REF!</v>
      </c>
      <c r="H52" s="88" t="e">
        <f t="shared" si="8"/>
        <v>#REF!</v>
      </c>
      <c r="I52" s="88" t="e">
        <f t="shared" si="8"/>
        <v>#REF!</v>
      </c>
      <c r="J52" s="88" t="e">
        <f t="shared" si="8"/>
        <v>#REF!</v>
      </c>
      <c r="K52" s="88" t="e">
        <f t="shared" si="8"/>
        <v>#REF!</v>
      </c>
      <c r="L52" s="88" t="e">
        <f t="shared" si="8"/>
        <v>#REF!</v>
      </c>
      <c r="M52" s="88" t="e">
        <f t="shared" si="8"/>
        <v>#REF!</v>
      </c>
      <c r="N52" s="88" t="e">
        <f t="shared" si="8"/>
        <v>#REF!</v>
      </c>
      <c r="O52" s="88"/>
      <c r="Q52" s="8">
        <v>2.7</v>
      </c>
      <c r="R52" s="8">
        <v>3.4</v>
      </c>
      <c r="S52" s="8">
        <v>3.4</v>
      </c>
      <c r="T52" s="8">
        <v>3.4</v>
      </c>
      <c r="U52" s="42" t="e">
        <f>#REF!*100</f>
        <v>#REF!</v>
      </c>
    </row>
    <row r="53" spans="1:21">
      <c r="E53" s="88">
        <v>2.7</v>
      </c>
      <c r="F53" s="88">
        <v>2.7</v>
      </c>
      <c r="G53" s="88">
        <v>2.7</v>
      </c>
      <c r="H53" s="88">
        <v>2.7</v>
      </c>
      <c r="I53" s="88">
        <v>2.7</v>
      </c>
      <c r="J53" s="88">
        <v>2.7</v>
      </c>
      <c r="K53" s="88">
        <v>2.7</v>
      </c>
      <c r="L53" s="88">
        <v>2.7</v>
      </c>
      <c r="M53" s="88">
        <v>2.7</v>
      </c>
      <c r="N53" s="88">
        <v>2.7</v>
      </c>
      <c r="O53" s="88"/>
    </row>
    <row r="66" spans="1:19">
      <c r="B66" s="39" t="str">
        <f>B51</f>
        <v>Q3 10</v>
      </c>
      <c r="C66" s="39" t="str">
        <f t="shared" ref="C66:N66" si="9">C51</f>
        <v>Q4 10</v>
      </c>
      <c r="D66" s="39" t="str">
        <f t="shared" si="9"/>
        <v>Q1 11</v>
      </c>
      <c r="E66" s="39" t="str">
        <f t="shared" si="9"/>
        <v>Q2 11</v>
      </c>
      <c r="F66" s="39" t="str">
        <f t="shared" si="9"/>
        <v>Q3 11</v>
      </c>
      <c r="G66" s="39" t="str">
        <f t="shared" si="9"/>
        <v>Q4 11</v>
      </c>
      <c r="H66" s="39" t="str">
        <f t="shared" si="9"/>
        <v>Q1 12</v>
      </c>
      <c r="I66" s="39" t="str">
        <f t="shared" si="9"/>
        <v>Q2 12</v>
      </c>
      <c r="J66" s="39" t="str">
        <f t="shared" si="9"/>
        <v>Q3 12</v>
      </c>
      <c r="K66" s="39" t="str">
        <f t="shared" si="9"/>
        <v>Q4 12</v>
      </c>
      <c r="L66" s="39" t="str">
        <f t="shared" si="9"/>
        <v>Q1 13</v>
      </c>
      <c r="M66" s="39" t="str">
        <f t="shared" si="9"/>
        <v>Q2 13</v>
      </c>
      <c r="N66" s="39" t="str">
        <f t="shared" si="9"/>
        <v>Q3 13</v>
      </c>
      <c r="O66" s="39"/>
      <c r="Q66" s="11">
        <v>2010</v>
      </c>
      <c r="R66" s="11">
        <v>2011</v>
      </c>
      <c r="S66" s="11">
        <v>2012</v>
      </c>
    </row>
    <row r="67" spans="1:19">
      <c r="A67" s="39" t="s">
        <v>77</v>
      </c>
      <c r="B67" s="88" t="e">
        <f t="shared" ref="B67:M67" si="10">B14*100</f>
        <v>#REF!</v>
      </c>
      <c r="C67" s="88" t="e">
        <f t="shared" si="10"/>
        <v>#REF!</v>
      </c>
      <c r="D67" s="88" t="e">
        <f t="shared" si="10"/>
        <v>#REF!</v>
      </c>
      <c r="E67" s="88" t="e">
        <f t="shared" si="10"/>
        <v>#REF!</v>
      </c>
      <c r="F67" s="88" t="e">
        <f t="shared" si="10"/>
        <v>#REF!</v>
      </c>
      <c r="G67" s="88" t="e">
        <f t="shared" si="10"/>
        <v>#REF!</v>
      </c>
      <c r="H67" s="88" t="e">
        <f t="shared" si="10"/>
        <v>#REF!</v>
      </c>
      <c r="I67" s="88" t="e">
        <f t="shared" si="10"/>
        <v>#REF!</v>
      </c>
      <c r="J67" s="88" t="e">
        <f t="shared" si="10"/>
        <v>#REF!</v>
      </c>
      <c r="K67" s="88" t="e">
        <f t="shared" si="10"/>
        <v>#REF!</v>
      </c>
      <c r="L67" s="88" t="e">
        <f t="shared" si="10"/>
        <v>#REF!</v>
      </c>
      <c r="M67" s="88" t="e">
        <f t="shared" si="10"/>
        <v>#REF!</v>
      </c>
      <c r="N67" s="88" t="e">
        <f>N14*100</f>
        <v>#REF!</v>
      </c>
      <c r="O67" s="88"/>
    </row>
    <row r="68" spans="1:19">
      <c r="A68" s="39" t="s">
        <v>256</v>
      </c>
      <c r="E68" s="88">
        <v>13</v>
      </c>
      <c r="F68" s="88">
        <v>13</v>
      </c>
      <c r="G68" s="88">
        <v>13</v>
      </c>
      <c r="H68" s="88">
        <v>13</v>
      </c>
      <c r="I68" s="88">
        <v>13</v>
      </c>
      <c r="J68" s="88">
        <v>13</v>
      </c>
      <c r="K68" s="88">
        <v>13</v>
      </c>
      <c r="L68" s="88">
        <v>13</v>
      </c>
      <c r="M68" s="88">
        <v>13</v>
      </c>
      <c r="N68" s="88">
        <v>13</v>
      </c>
    </row>
    <row r="81" spans="1:21">
      <c r="B81" s="39" t="str">
        <f>B66</f>
        <v>Q3 10</v>
      </c>
      <c r="C81" s="39" t="str">
        <f t="shared" ref="C81:N81" si="11">C66</f>
        <v>Q4 10</v>
      </c>
      <c r="D81" s="39" t="str">
        <f t="shared" si="11"/>
        <v>Q1 11</v>
      </c>
      <c r="E81" s="39" t="str">
        <f t="shared" si="11"/>
        <v>Q2 11</v>
      </c>
      <c r="F81" s="39" t="str">
        <f t="shared" si="11"/>
        <v>Q3 11</v>
      </c>
      <c r="G81" s="39" t="str">
        <f t="shared" si="11"/>
        <v>Q4 11</v>
      </c>
      <c r="H81" s="39" t="str">
        <f t="shared" si="11"/>
        <v>Q1 12</v>
      </c>
      <c r="I81" s="39" t="str">
        <f t="shared" si="11"/>
        <v>Q2 12</v>
      </c>
      <c r="J81" s="39" t="str">
        <f t="shared" si="11"/>
        <v>Q3 12</v>
      </c>
      <c r="K81" s="39" t="str">
        <f t="shared" si="11"/>
        <v>Q4 12</v>
      </c>
      <c r="L81" s="39" t="str">
        <f t="shared" si="11"/>
        <v>Q1 13</v>
      </c>
      <c r="M81" s="39" t="str">
        <f t="shared" si="11"/>
        <v>Q2 13</v>
      </c>
      <c r="N81" s="39" t="str">
        <f t="shared" si="11"/>
        <v>Q3 13</v>
      </c>
      <c r="O81" s="39"/>
      <c r="Q81" s="11">
        <v>2010</v>
      </c>
      <c r="R81" s="11">
        <v>2011</v>
      </c>
      <c r="S81" s="11">
        <v>2012</v>
      </c>
      <c r="T81" s="39" t="s">
        <v>238</v>
      </c>
      <c r="U81" s="39" t="s">
        <v>237</v>
      </c>
    </row>
    <row r="82" spans="1:21">
      <c r="A82" s="39" t="s">
        <v>128</v>
      </c>
      <c r="B82" s="88" t="e">
        <f t="shared" ref="B82:N82" si="12">B9*100</f>
        <v>#REF!</v>
      </c>
      <c r="C82" s="88" t="e">
        <f t="shared" si="12"/>
        <v>#REF!</v>
      </c>
      <c r="D82" s="88" t="e">
        <f t="shared" si="12"/>
        <v>#REF!</v>
      </c>
      <c r="E82" s="88" t="e">
        <f t="shared" si="12"/>
        <v>#REF!</v>
      </c>
      <c r="F82" s="88" t="e">
        <f t="shared" si="12"/>
        <v>#REF!</v>
      </c>
      <c r="G82" s="88" t="e">
        <f t="shared" si="12"/>
        <v>#REF!</v>
      </c>
      <c r="H82" s="88" t="e">
        <f t="shared" si="12"/>
        <v>#REF!</v>
      </c>
      <c r="I82" s="88" t="e">
        <f t="shared" si="12"/>
        <v>#REF!</v>
      </c>
      <c r="J82" s="88" t="e">
        <f t="shared" si="12"/>
        <v>#REF!</v>
      </c>
      <c r="K82" s="88" t="e">
        <f t="shared" si="12"/>
        <v>#REF!</v>
      </c>
      <c r="L82" s="88" t="e">
        <f t="shared" si="12"/>
        <v>#REF!</v>
      </c>
      <c r="M82" s="88" t="e">
        <f t="shared" si="12"/>
        <v>#REF!</v>
      </c>
      <c r="N82" s="88" t="e">
        <f t="shared" si="12"/>
        <v>#REF!</v>
      </c>
      <c r="O82" s="88"/>
      <c r="Q82" s="8">
        <v>54.2</v>
      </c>
      <c r="R82" s="8">
        <v>52.5</v>
      </c>
      <c r="S82" s="8">
        <v>49.8</v>
      </c>
      <c r="T82" s="42">
        <v>52</v>
      </c>
      <c r="U82" s="42" t="e">
        <f>#REF!*100</f>
        <v>#REF!</v>
      </c>
    </row>
    <row r="83" spans="1:21">
      <c r="E83" s="88">
        <v>50</v>
      </c>
      <c r="F83" s="88">
        <v>50</v>
      </c>
      <c r="G83" s="88">
        <v>50</v>
      </c>
      <c r="H83" s="88">
        <v>50</v>
      </c>
      <c r="I83" s="88">
        <v>50</v>
      </c>
      <c r="J83" s="88">
        <v>50</v>
      </c>
      <c r="K83" s="88">
        <v>50</v>
      </c>
      <c r="L83" s="88">
        <v>50</v>
      </c>
      <c r="M83" s="88">
        <v>50</v>
      </c>
      <c r="N83" s="88">
        <v>50</v>
      </c>
    </row>
    <row r="84" spans="1:21">
      <c r="E84" s="88">
        <v>60</v>
      </c>
      <c r="F84" s="88">
        <v>60</v>
      </c>
      <c r="G84" s="88">
        <v>60</v>
      </c>
      <c r="H84" s="88">
        <v>60</v>
      </c>
      <c r="I84" s="88">
        <v>60</v>
      </c>
      <c r="J84" s="88">
        <v>60</v>
      </c>
      <c r="K84" s="88">
        <v>60</v>
      </c>
      <c r="L84" s="88">
        <v>60</v>
      </c>
      <c r="M84" s="88">
        <v>60</v>
      </c>
      <c r="N84" s="88">
        <v>60</v>
      </c>
    </row>
    <row r="95" spans="1:21">
      <c r="B95" s="39" t="str">
        <f>B81</f>
        <v>Q3 10</v>
      </c>
      <c r="C95" s="39" t="str">
        <f t="shared" ref="C95:K95" si="13">C81</f>
        <v>Q4 10</v>
      </c>
      <c r="D95" s="39" t="str">
        <f t="shared" si="13"/>
        <v>Q1 11</v>
      </c>
      <c r="E95" s="39" t="str">
        <f t="shared" si="13"/>
        <v>Q2 11</v>
      </c>
      <c r="F95" s="39" t="str">
        <f t="shared" si="13"/>
        <v>Q3 11</v>
      </c>
      <c r="G95" s="39" t="str">
        <f t="shared" si="13"/>
        <v>Q4 11</v>
      </c>
      <c r="H95" s="39" t="str">
        <f t="shared" si="13"/>
        <v>Q1 12</v>
      </c>
      <c r="I95" s="39" t="str">
        <f t="shared" si="13"/>
        <v>Q2 12</v>
      </c>
      <c r="J95" s="39" t="str">
        <f t="shared" si="13"/>
        <v>Q3 12</v>
      </c>
      <c r="K95" s="39" t="str">
        <f t="shared" si="13"/>
        <v>Q4 12</v>
      </c>
      <c r="L95" s="39" t="str">
        <f>L81</f>
        <v>Q1 13</v>
      </c>
      <c r="M95" s="39" t="str">
        <f>M81</f>
        <v>Q2 13</v>
      </c>
      <c r="N95" s="39" t="str">
        <f>N81</f>
        <v>Q3 13</v>
      </c>
      <c r="O95" s="39"/>
      <c r="Q95" s="11">
        <v>2010</v>
      </c>
      <c r="R95" s="11">
        <v>2011</v>
      </c>
      <c r="S95" s="11">
        <v>2012</v>
      </c>
      <c r="T95" s="39" t="s">
        <v>238</v>
      </c>
      <c r="U95" s="39" t="s">
        <v>237</v>
      </c>
    </row>
    <row r="96" spans="1:21">
      <c r="A96" s="39" t="s">
        <v>129</v>
      </c>
      <c r="B96" s="88" t="e">
        <f t="shared" ref="B96:N96" si="14">B10*100</f>
        <v>#REF!</v>
      </c>
      <c r="C96" s="88" t="e">
        <f t="shared" si="14"/>
        <v>#REF!</v>
      </c>
      <c r="D96" s="88" t="e">
        <f t="shared" si="14"/>
        <v>#REF!</v>
      </c>
      <c r="E96" s="88" t="e">
        <f t="shared" si="14"/>
        <v>#REF!</v>
      </c>
      <c r="F96" s="88" t="e">
        <f t="shared" si="14"/>
        <v>#REF!</v>
      </c>
      <c r="G96" s="88" t="e">
        <f t="shared" si="14"/>
        <v>#REF!</v>
      </c>
      <c r="H96" s="88" t="e">
        <f t="shared" si="14"/>
        <v>#REF!</v>
      </c>
      <c r="I96" s="88" t="e">
        <f t="shared" si="14"/>
        <v>#REF!</v>
      </c>
      <c r="J96" s="88" t="e">
        <f t="shared" si="14"/>
        <v>#REF!</v>
      </c>
      <c r="K96" s="88" t="e">
        <f t="shared" si="14"/>
        <v>#REF!</v>
      </c>
      <c r="L96" s="88" t="e">
        <f t="shared" si="14"/>
        <v>#REF!</v>
      </c>
      <c r="M96" s="88" t="e">
        <f>M10*100</f>
        <v>#REF!</v>
      </c>
      <c r="N96" s="88" t="e">
        <f t="shared" si="14"/>
        <v>#REF!</v>
      </c>
      <c r="O96" s="88"/>
      <c r="P96" s="8" t="s">
        <v>100</v>
      </c>
      <c r="Q96" s="42" t="e">
        <f>#REF!*100</f>
        <v>#REF!</v>
      </c>
      <c r="R96" s="42" t="e">
        <f>#REF!*100</f>
        <v>#REF!</v>
      </c>
      <c r="S96" s="42" t="e">
        <f>#REF!*100</f>
        <v>#REF!</v>
      </c>
      <c r="T96" s="42" t="e">
        <f>#REF!*100</f>
        <v>#REF!</v>
      </c>
      <c r="U96" s="42" t="e">
        <f>#REF!*100</f>
        <v>#REF!</v>
      </c>
    </row>
    <row r="97" spans="1:21">
      <c r="P97" s="8" t="s">
        <v>109</v>
      </c>
      <c r="Q97" s="42" t="e">
        <f>#REF!*100</f>
        <v>#REF!</v>
      </c>
      <c r="R97" s="42" t="e">
        <f>#REF!*100</f>
        <v>#REF!</v>
      </c>
      <c r="S97" s="42" t="e">
        <f>#REF!*100</f>
        <v>#REF!</v>
      </c>
      <c r="T97" s="42" t="e">
        <f>#REF!*100</f>
        <v>#REF!</v>
      </c>
      <c r="U97" s="42" t="e">
        <f>#REF!*100</f>
        <v>#REF!</v>
      </c>
    </row>
    <row r="98" spans="1:21">
      <c r="P98" s="11" t="s">
        <v>26</v>
      </c>
      <c r="Q98" s="122" t="e">
        <f>SUM(Q96:Q97)</f>
        <v>#REF!</v>
      </c>
      <c r="R98" s="122" t="e">
        <f>SUM(R96:R97)</f>
        <v>#REF!</v>
      </c>
      <c r="S98" s="122" t="e">
        <f>SUM(S96:S97)</f>
        <v>#REF!</v>
      </c>
      <c r="T98" s="122" t="e">
        <f>SUM(T96:T97)</f>
        <v>#REF!</v>
      </c>
      <c r="U98" s="122" t="e">
        <f>SUM(U96:U97)</f>
        <v>#REF!</v>
      </c>
    </row>
    <row r="109" spans="1:21">
      <c r="B109" s="39" t="str">
        <f>B95</f>
        <v>Q3 10</v>
      </c>
      <c r="C109" s="39" t="str">
        <f t="shared" ref="C109:K109" si="15">C95</f>
        <v>Q4 10</v>
      </c>
      <c r="D109" s="39" t="str">
        <f t="shared" si="15"/>
        <v>Q1 11</v>
      </c>
      <c r="E109" s="39" t="str">
        <f t="shared" si="15"/>
        <v>Q2 11</v>
      </c>
      <c r="F109" s="39" t="str">
        <f t="shared" si="15"/>
        <v>Q3 11</v>
      </c>
      <c r="G109" s="39" t="str">
        <f t="shared" si="15"/>
        <v>Q4 11</v>
      </c>
      <c r="H109" s="39" t="str">
        <f t="shared" si="15"/>
        <v>Q1 12</v>
      </c>
      <c r="I109" s="39" t="str">
        <f t="shared" si="15"/>
        <v>Q2 12</v>
      </c>
      <c r="J109" s="39" t="str">
        <f t="shared" si="15"/>
        <v>Q3 12</v>
      </c>
      <c r="K109" s="39" t="str">
        <f t="shared" si="15"/>
        <v>Q4 12</v>
      </c>
      <c r="L109" s="39" t="str">
        <f>L95</f>
        <v>Q1 13</v>
      </c>
      <c r="M109" s="39" t="str">
        <f>M95</f>
        <v>Q2 13</v>
      </c>
      <c r="N109" s="39" t="str">
        <f>N95</f>
        <v>Q3 13</v>
      </c>
      <c r="O109" s="39"/>
      <c r="Q109" s="11">
        <v>2010</v>
      </c>
      <c r="R109" s="11">
        <v>2011</v>
      </c>
      <c r="S109" s="11">
        <v>2012</v>
      </c>
    </row>
    <row r="110" spans="1:21">
      <c r="A110" s="39" t="s">
        <v>143</v>
      </c>
      <c r="B110" s="88" t="e">
        <f t="shared" ref="B110:L110" si="16">B15*100</f>
        <v>#REF!</v>
      </c>
      <c r="C110" s="88" t="e">
        <f t="shared" si="16"/>
        <v>#REF!</v>
      </c>
      <c r="D110" s="88" t="e">
        <f t="shared" si="16"/>
        <v>#REF!</v>
      </c>
      <c r="E110" s="88" t="e">
        <f t="shared" si="16"/>
        <v>#REF!</v>
      </c>
      <c r="F110" s="88" t="e">
        <f t="shared" si="16"/>
        <v>#REF!</v>
      </c>
      <c r="G110" s="88" t="e">
        <f t="shared" si="16"/>
        <v>#REF!</v>
      </c>
      <c r="H110" s="88" t="e">
        <f t="shared" si="16"/>
        <v>#REF!</v>
      </c>
      <c r="I110" s="88" t="e">
        <f t="shared" si="16"/>
        <v>#REF!</v>
      </c>
      <c r="J110" s="88" t="e">
        <f t="shared" si="16"/>
        <v>#REF!</v>
      </c>
      <c r="K110" s="88" t="e">
        <f t="shared" si="16"/>
        <v>#REF!</v>
      </c>
      <c r="L110" s="88" t="e">
        <f t="shared" si="16"/>
        <v>#REF!</v>
      </c>
      <c r="M110" s="88" t="e">
        <f>M15*100</f>
        <v>#REF!</v>
      </c>
      <c r="N110" s="88" t="e">
        <f>N15*100</f>
        <v>#REF!</v>
      </c>
      <c r="O110" s="88"/>
      <c r="Q110" s="42" t="e">
        <f>C110</f>
        <v>#REF!</v>
      </c>
      <c r="R110" s="42" t="e">
        <f>G110</f>
        <v>#REF!</v>
      </c>
      <c r="S110" s="42" t="e">
        <f>K110</f>
        <v>#REF!</v>
      </c>
    </row>
    <row r="123" spans="1:19">
      <c r="B123" s="39" t="str">
        <f>B109</f>
        <v>Q3 10</v>
      </c>
      <c r="C123" s="39" t="str">
        <f t="shared" ref="C123:K123" si="17">C109</f>
        <v>Q4 10</v>
      </c>
      <c r="D123" s="39" t="str">
        <f t="shared" si="17"/>
        <v>Q1 11</v>
      </c>
      <c r="E123" s="39" t="str">
        <f t="shared" si="17"/>
        <v>Q2 11</v>
      </c>
      <c r="F123" s="39" t="str">
        <f t="shared" si="17"/>
        <v>Q3 11</v>
      </c>
      <c r="G123" s="39" t="str">
        <f t="shared" si="17"/>
        <v>Q4 11</v>
      </c>
      <c r="H123" s="39" t="str">
        <f t="shared" si="17"/>
        <v>Q1 12</v>
      </c>
      <c r="I123" s="39" t="str">
        <f t="shared" si="17"/>
        <v>Q2 12</v>
      </c>
      <c r="J123" s="39" t="str">
        <f t="shared" si="17"/>
        <v>Q3 12</v>
      </c>
      <c r="K123" s="39" t="str">
        <f t="shared" si="17"/>
        <v>Q4 12</v>
      </c>
      <c r="L123" s="39" t="str">
        <f>L109</f>
        <v>Q1 13</v>
      </c>
      <c r="M123" s="39" t="str">
        <f>M109</f>
        <v>Q2 13</v>
      </c>
      <c r="N123" s="39" t="str">
        <f>N109</f>
        <v>Q3 13</v>
      </c>
      <c r="O123" s="39"/>
      <c r="Q123" s="11">
        <v>2010</v>
      </c>
      <c r="R123" s="11">
        <v>2011</v>
      </c>
      <c r="S123" s="11">
        <v>2012</v>
      </c>
    </row>
    <row r="124" spans="1:19">
      <c r="A124" s="39" t="s">
        <v>127</v>
      </c>
      <c r="B124" s="88" t="e">
        <f t="shared" ref="B124:L124" si="18">B6*100</f>
        <v>#REF!</v>
      </c>
      <c r="C124" s="88" t="e">
        <f t="shared" si="18"/>
        <v>#REF!</v>
      </c>
      <c r="D124" s="88" t="e">
        <f t="shared" si="18"/>
        <v>#REF!</v>
      </c>
      <c r="E124" s="88" t="e">
        <f t="shared" si="18"/>
        <v>#REF!</v>
      </c>
      <c r="F124" s="88" t="e">
        <f t="shared" si="18"/>
        <v>#REF!</v>
      </c>
      <c r="G124" s="88" t="e">
        <f t="shared" si="18"/>
        <v>#REF!</v>
      </c>
      <c r="H124" s="88" t="e">
        <f t="shared" si="18"/>
        <v>#REF!</v>
      </c>
      <c r="I124" s="88" t="e">
        <f t="shared" si="18"/>
        <v>#REF!</v>
      </c>
      <c r="J124" s="88" t="e">
        <f t="shared" si="18"/>
        <v>#REF!</v>
      </c>
      <c r="K124" s="88" t="e">
        <f t="shared" si="18"/>
        <v>#REF!</v>
      </c>
      <c r="L124" s="88" t="e">
        <f t="shared" si="18"/>
        <v>#REF!</v>
      </c>
      <c r="M124" s="88" t="e">
        <f>M6*100</f>
        <v>#REF!</v>
      </c>
      <c r="N124" s="88" t="e">
        <f>N6*100</f>
        <v>#REF!</v>
      </c>
      <c r="O124" s="88"/>
    </row>
    <row r="137" spans="1:21">
      <c r="B137" s="39" t="str">
        <f>B123</f>
        <v>Q3 10</v>
      </c>
      <c r="C137" s="39" t="str">
        <f t="shared" ref="C137:K137" si="19">C123</f>
        <v>Q4 10</v>
      </c>
      <c r="D137" s="39" t="str">
        <f t="shared" si="19"/>
        <v>Q1 11</v>
      </c>
      <c r="E137" s="39" t="str">
        <f t="shared" si="19"/>
        <v>Q2 11</v>
      </c>
      <c r="F137" s="39" t="str">
        <f t="shared" si="19"/>
        <v>Q3 11</v>
      </c>
      <c r="G137" s="39" t="str">
        <f t="shared" si="19"/>
        <v>Q4 11</v>
      </c>
      <c r="H137" s="39" t="str">
        <f t="shared" si="19"/>
        <v>Q1 12</v>
      </c>
      <c r="I137" s="39" t="str">
        <f t="shared" si="19"/>
        <v>Q2 12</v>
      </c>
      <c r="J137" s="39" t="str">
        <f t="shared" si="19"/>
        <v>Q3 12</v>
      </c>
      <c r="K137" s="39" t="str">
        <f t="shared" si="19"/>
        <v>Q4 12</v>
      </c>
      <c r="L137" s="39" t="str">
        <f>L123</f>
        <v>Q1 13</v>
      </c>
      <c r="M137" s="39" t="str">
        <f>M123</f>
        <v>Q2 13</v>
      </c>
      <c r="N137" s="39" t="str">
        <f>N123</f>
        <v>Q3 13</v>
      </c>
      <c r="O137" s="39"/>
      <c r="Q137" s="11">
        <v>2010</v>
      </c>
      <c r="R137" s="11">
        <v>2011</v>
      </c>
      <c r="S137" s="11">
        <v>2012</v>
      </c>
      <c r="T137" s="39" t="s">
        <v>238</v>
      </c>
      <c r="U137" s="39" t="s">
        <v>237</v>
      </c>
    </row>
    <row r="138" spans="1:21">
      <c r="A138" s="39" t="s">
        <v>158</v>
      </c>
      <c r="B138" s="88" t="e">
        <f t="shared" ref="B138:N138" si="20">B26*100</f>
        <v>#REF!</v>
      </c>
      <c r="C138" s="88" t="e">
        <f t="shared" si="20"/>
        <v>#REF!</v>
      </c>
      <c r="D138" s="88" t="e">
        <f t="shared" si="20"/>
        <v>#REF!</v>
      </c>
      <c r="E138" s="88" t="e">
        <f t="shared" si="20"/>
        <v>#REF!</v>
      </c>
      <c r="F138" s="88" t="e">
        <f t="shared" si="20"/>
        <v>#REF!</v>
      </c>
      <c r="G138" s="88" t="e">
        <f t="shared" si="20"/>
        <v>#REF!</v>
      </c>
      <c r="H138" s="88" t="e">
        <f t="shared" si="20"/>
        <v>#REF!</v>
      </c>
      <c r="I138" s="88" t="e">
        <f t="shared" si="20"/>
        <v>#REF!</v>
      </c>
      <c r="J138" s="88" t="e">
        <f t="shared" si="20"/>
        <v>#REF!</v>
      </c>
      <c r="K138" s="88" t="e">
        <f t="shared" si="20"/>
        <v>#REF!</v>
      </c>
      <c r="L138" s="88" t="e">
        <f t="shared" si="20"/>
        <v>#REF!</v>
      </c>
      <c r="M138" s="88" t="e">
        <f>M26*100</f>
        <v>#REF!</v>
      </c>
      <c r="N138" s="88" t="e">
        <f t="shared" si="20"/>
        <v>#REF!</v>
      </c>
      <c r="O138" s="88"/>
      <c r="Q138" s="42" t="e">
        <f>C138</f>
        <v>#REF!</v>
      </c>
      <c r="R138" s="42" t="e">
        <f>G138</f>
        <v>#REF!</v>
      </c>
      <c r="S138" s="42" t="e">
        <f>K138</f>
        <v>#REF!</v>
      </c>
      <c r="T138" s="42" t="e">
        <f>I138</f>
        <v>#REF!</v>
      </c>
      <c r="U138" s="42" t="e">
        <f>N138</f>
        <v>#REF!</v>
      </c>
    </row>
    <row r="139" spans="1:21">
      <c r="E139" s="88">
        <v>5</v>
      </c>
      <c r="F139" s="88">
        <v>5</v>
      </c>
      <c r="G139" s="88">
        <v>5</v>
      </c>
      <c r="H139" s="88">
        <v>5</v>
      </c>
      <c r="I139" s="88">
        <v>5</v>
      </c>
      <c r="J139" s="88">
        <v>5</v>
      </c>
      <c r="K139" s="88">
        <v>5</v>
      </c>
      <c r="L139" s="88">
        <v>5</v>
      </c>
      <c r="M139" s="88">
        <v>5</v>
      </c>
      <c r="N139" s="88">
        <v>5</v>
      </c>
    </row>
    <row r="151" spans="1:15">
      <c r="B151" s="39" t="str">
        <f>B137</f>
        <v>Q3 10</v>
      </c>
      <c r="C151" s="39" t="str">
        <f t="shared" ref="C151:K151" si="21">C137</f>
        <v>Q4 10</v>
      </c>
      <c r="D151" s="39" t="str">
        <f t="shared" si="21"/>
        <v>Q1 11</v>
      </c>
      <c r="E151" s="39" t="str">
        <f t="shared" si="21"/>
        <v>Q2 11</v>
      </c>
      <c r="F151" s="39" t="str">
        <f t="shared" si="21"/>
        <v>Q3 11</v>
      </c>
      <c r="G151" s="39" t="str">
        <f t="shared" si="21"/>
        <v>Q4 11</v>
      </c>
      <c r="H151" s="39" t="str">
        <f t="shared" si="21"/>
        <v>Q1 12</v>
      </c>
      <c r="I151" s="39" t="str">
        <f t="shared" si="21"/>
        <v>Q2 12</v>
      </c>
      <c r="J151" s="39" t="str">
        <f t="shared" si="21"/>
        <v>Q3 12</v>
      </c>
      <c r="K151" s="39" t="str">
        <f t="shared" si="21"/>
        <v>Q4 12</v>
      </c>
      <c r="L151" s="39" t="str">
        <f>L137</f>
        <v>Q1 13</v>
      </c>
      <c r="M151" s="39" t="str">
        <f>M137</f>
        <v>Q2 13</v>
      </c>
      <c r="N151" s="39" t="str">
        <f>N137</f>
        <v>Q3 13</v>
      </c>
      <c r="O151" s="39"/>
    </row>
    <row r="152" spans="1:15">
      <c r="A152" s="39" t="s">
        <v>151</v>
      </c>
      <c r="B152" s="88" t="e">
        <f t="shared" ref="B152:N152" si="22">B12*100</f>
        <v>#REF!</v>
      </c>
      <c r="C152" s="88" t="e">
        <f t="shared" si="22"/>
        <v>#REF!</v>
      </c>
      <c r="D152" s="88" t="e">
        <f t="shared" si="22"/>
        <v>#REF!</v>
      </c>
      <c r="E152" s="88" t="e">
        <f t="shared" si="22"/>
        <v>#REF!</v>
      </c>
      <c r="F152" s="88" t="e">
        <f t="shared" si="22"/>
        <v>#REF!</v>
      </c>
      <c r="G152" s="88" t="e">
        <f t="shared" si="22"/>
        <v>#REF!</v>
      </c>
      <c r="H152" s="88" t="e">
        <f t="shared" si="22"/>
        <v>#REF!</v>
      </c>
      <c r="I152" s="88" t="e">
        <f t="shared" si="22"/>
        <v>#REF!</v>
      </c>
      <c r="J152" s="88" t="e">
        <f t="shared" si="22"/>
        <v>#REF!</v>
      </c>
      <c r="K152" s="88" t="e">
        <f t="shared" si="22"/>
        <v>#REF!</v>
      </c>
      <c r="L152" s="88" t="e">
        <f t="shared" si="22"/>
        <v>#REF!</v>
      </c>
      <c r="M152" s="88" t="e">
        <f t="shared" si="22"/>
        <v>#REF!</v>
      </c>
      <c r="N152" s="88" t="e">
        <f t="shared" si="22"/>
        <v>#REF!</v>
      </c>
      <c r="O152" s="88"/>
    </row>
    <row r="165" spans="1:15">
      <c r="B165" s="39" t="str">
        <f>B151</f>
        <v>Q3 10</v>
      </c>
      <c r="C165" s="39" t="str">
        <f t="shared" ref="C165:K165" si="23">C151</f>
        <v>Q4 10</v>
      </c>
      <c r="D165" s="39" t="str">
        <f t="shared" si="23"/>
        <v>Q1 11</v>
      </c>
      <c r="E165" s="39" t="str">
        <f t="shared" si="23"/>
        <v>Q2 11</v>
      </c>
      <c r="F165" s="39" t="str">
        <f t="shared" si="23"/>
        <v>Q3 11</v>
      </c>
      <c r="G165" s="39" t="str">
        <f t="shared" si="23"/>
        <v>Q4 11</v>
      </c>
      <c r="H165" s="39" t="str">
        <f t="shared" si="23"/>
        <v>Q1 12</v>
      </c>
      <c r="I165" s="39" t="str">
        <f t="shared" si="23"/>
        <v>Q2 12</v>
      </c>
      <c r="J165" s="39" t="str">
        <f t="shared" si="23"/>
        <v>Q3 12</v>
      </c>
      <c r="K165" s="39" t="str">
        <f t="shared" si="23"/>
        <v>Q4 12</v>
      </c>
      <c r="L165" s="39" t="str">
        <f>L151</f>
        <v>Q1 13</v>
      </c>
      <c r="M165" s="39" t="str">
        <f>M151</f>
        <v>Q2 13</v>
      </c>
      <c r="N165" s="39" t="str">
        <f>N151</f>
        <v>Q3 13</v>
      </c>
      <c r="O165" s="39"/>
    </row>
    <row r="166" spans="1:15">
      <c r="A166" s="39" t="s">
        <v>242</v>
      </c>
      <c r="B166" s="88" t="e">
        <f t="shared" ref="B166:N166" si="24">B17*100</f>
        <v>#REF!</v>
      </c>
      <c r="C166" s="88" t="e">
        <f t="shared" si="24"/>
        <v>#REF!</v>
      </c>
      <c r="D166" s="88" t="e">
        <f t="shared" si="24"/>
        <v>#REF!</v>
      </c>
      <c r="E166" s="88" t="e">
        <f t="shared" si="24"/>
        <v>#REF!</v>
      </c>
      <c r="F166" s="88" t="e">
        <f t="shared" si="24"/>
        <v>#REF!</v>
      </c>
      <c r="G166" s="88" t="e">
        <f t="shared" si="24"/>
        <v>#REF!</v>
      </c>
      <c r="H166" s="88" t="e">
        <f t="shared" si="24"/>
        <v>#REF!</v>
      </c>
      <c r="I166" s="88" t="e">
        <f t="shared" si="24"/>
        <v>#REF!</v>
      </c>
      <c r="J166" s="88" t="e">
        <f t="shared" si="24"/>
        <v>#REF!</v>
      </c>
      <c r="K166" s="88" t="e">
        <f t="shared" si="24"/>
        <v>#REF!</v>
      </c>
      <c r="L166" s="88" t="e">
        <f t="shared" si="24"/>
        <v>#REF!</v>
      </c>
      <c r="M166" s="88" t="e">
        <f>M17*100</f>
        <v>#REF!</v>
      </c>
      <c r="N166" s="88" t="e">
        <f t="shared" si="24"/>
        <v>#REF!</v>
      </c>
      <c r="O166" s="88"/>
    </row>
    <row r="167" spans="1:15">
      <c r="A167" s="39" t="s">
        <v>152</v>
      </c>
      <c r="C167" s="88">
        <v>20</v>
      </c>
      <c r="D167" s="88">
        <v>20</v>
      </c>
      <c r="E167" s="88">
        <v>20</v>
      </c>
      <c r="F167" s="88">
        <v>20</v>
      </c>
      <c r="G167" s="88">
        <v>20</v>
      </c>
      <c r="H167" s="88">
        <v>20</v>
      </c>
      <c r="I167" s="88">
        <v>20</v>
      </c>
      <c r="J167" s="88">
        <v>20</v>
      </c>
      <c r="K167" s="88">
        <v>20</v>
      </c>
      <c r="L167" s="88">
        <v>20</v>
      </c>
      <c r="M167" s="88">
        <v>20</v>
      </c>
      <c r="N167" s="88">
        <v>20</v>
      </c>
      <c r="O167" s="88"/>
    </row>
    <row r="179" spans="1:15">
      <c r="B179" s="39" t="str">
        <f>B165</f>
        <v>Q3 10</v>
      </c>
      <c r="C179" s="39" t="str">
        <f t="shared" ref="C179:K179" si="25">C165</f>
        <v>Q4 10</v>
      </c>
      <c r="D179" s="39" t="str">
        <f t="shared" si="25"/>
        <v>Q1 11</v>
      </c>
      <c r="E179" s="39" t="str">
        <f t="shared" si="25"/>
        <v>Q2 11</v>
      </c>
      <c r="F179" s="39" t="str">
        <f t="shared" si="25"/>
        <v>Q3 11</v>
      </c>
      <c r="G179" s="39" t="str">
        <f t="shared" si="25"/>
        <v>Q4 11</v>
      </c>
      <c r="H179" s="39" t="str">
        <f t="shared" si="25"/>
        <v>Q1 12</v>
      </c>
      <c r="I179" s="39" t="str">
        <f t="shared" si="25"/>
        <v>Q2 12</v>
      </c>
      <c r="J179" s="39" t="str">
        <f t="shared" si="25"/>
        <v>Q3 12</v>
      </c>
      <c r="K179" s="39" t="str">
        <f t="shared" si="25"/>
        <v>Q4 12</v>
      </c>
      <c r="L179" s="39" t="str">
        <f>L165</f>
        <v>Q1 13</v>
      </c>
      <c r="M179" s="39" t="str">
        <f>M165</f>
        <v>Q2 13</v>
      </c>
      <c r="N179" s="39" t="str">
        <f>N165</f>
        <v>Q3 13</v>
      </c>
      <c r="O179" s="39"/>
    </row>
    <row r="180" spans="1:15">
      <c r="A180" s="39" t="s">
        <v>35</v>
      </c>
      <c r="B180" s="88" t="e">
        <f t="shared" ref="B180:N180" si="26">B18*100</f>
        <v>#REF!</v>
      </c>
      <c r="C180" s="88" t="e">
        <f t="shared" si="26"/>
        <v>#REF!</v>
      </c>
      <c r="D180" s="88" t="e">
        <f t="shared" si="26"/>
        <v>#REF!</v>
      </c>
      <c r="E180" s="88" t="e">
        <f t="shared" si="26"/>
        <v>#REF!</v>
      </c>
      <c r="F180" s="88" t="e">
        <f t="shared" si="26"/>
        <v>#REF!</v>
      </c>
      <c r="G180" s="88" t="e">
        <f t="shared" si="26"/>
        <v>#REF!</v>
      </c>
      <c r="H180" s="88" t="e">
        <f t="shared" si="26"/>
        <v>#REF!</v>
      </c>
      <c r="I180" s="88" t="e">
        <f t="shared" si="26"/>
        <v>#REF!</v>
      </c>
      <c r="J180" s="88" t="e">
        <f t="shared" si="26"/>
        <v>#REF!</v>
      </c>
      <c r="K180" s="88" t="e">
        <f t="shared" si="26"/>
        <v>#REF!</v>
      </c>
      <c r="L180" s="88" t="e">
        <f t="shared" si="26"/>
        <v>#REF!</v>
      </c>
      <c r="M180" s="88" t="e">
        <f>M18*100</f>
        <v>#REF!</v>
      </c>
      <c r="N180" s="88" t="e">
        <f t="shared" si="26"/>
        <v>#REF!</v>
      </c>
      <c r="O180" s="88"/>
    </row>
    <row r="181" spans="1:15">
      <c r="A181" s="39" t="s">
        <v>153</v>
      </c>
      <c r="C181" s="88">
        <v>5</v>
      </c>
      <c r="D181" s="88">
        <v>5</v>
      </c>
      <c r="E181" s="88">
        <v>5</v>
      </c>
      <c r="F181" s="88">
        <v>5</v>
      </c>
      <c r="G181" s="88">
        <v>5</v>
      </c>
      <c r="H181" s="88">
        <v>5</v>
      </c>
      <c r="I181" s="88">
        <v>5</v>
      </c>
      <c r="J181" s="88">
        <v>5</v>
      </c>
      <c r="K181" s="88">
        <v>5</v>
      </c>
      <c r="L181" s="88">
        <v>5</v>
      </c>
      <c r="M181" s="88">
        <v>5</v>
      </c>
      <c r="N181" s="88">
        <v>5</v>
      </c>
      <c r="O181" s="88"/>
    </row>
    <row r="193" spans="1:22">
      <c r="B193" s="39" t="str">
        <f>B179</f>
        <v>Q3 10</v>
      </c>
      <c r="C193" s="39" t="str">
        <f t="shared" ref="C193:K193" si="27">C179</f>
        <v>Q4 10</v>
      </c>
      <c r="D193" s="39" t="str">
        <f t="shared" si="27"/>
        <v>Q1 11</v>
      </c>
      <c r="E193" s="39" t="str">
        <f t="shared" si="27"/>
        <v>Q2 11</v>
      </c>
      <c r="F193" s="39" t="str">
        <f t="shared" si="27"/>
        <v>Q3 11</v>
      </c>
      <c r="G193" s="39" t="str">
        <f t="shared" si="27"/>
        <v>Q4 11</v>
      </c>
      <c r="H193" s="39" t="str">
        <f t="shared" si="27"/>
        <v>Q1 12</v>
      </c>
      <c r="I193" s="39" t="str">
        <f t="shared" si="27"/>
        <v>Q2 12</v>
      </c>
      <c r="J193" s="39" t="str">
        <f t="shared" si="27"/>
        <v>Q3 12</v>
      </c>
      <c r="K193" s="39" t="str">
        <f t="shared" si="27"/>
        <v>Q4 12</v>
      </c>
      <c r="L193" s="39" t="str">
        <f>L179</f>
        <v>Q1 13</v>
      </c>
      <c r="M193" s="39" t="str">
        <f>M179</f>
        <v>Q2 13</v>
      </c>
      <c r="N193" s="39" t="str">
        <f>N179</f>
        <v>Q3 13</v>
      </c>
      <c r="O193" s="39"/>
      <c r="R193" s="11">
        <v>2010</v>
      </c>
      <c r="S193" s="11">
        <v>2011</v>
      </c>
      <c r="T193" s="11">
        <v>2012</v>
      </c>
      <c r="U193" s="39" t="s">
        <v>238</v>
      </c>
      <c r="V193" s="39" t="s">
        <v>237</v>
      </c>
    </row>
    <row r="194" spans="1:22">
      <c r="B194" s="89" t="e">
        <f>B20*100</f>
        <v>#REF!</v>
      </c>
      <c r="C194" s="89" t="e">
        <f t="shared" ref="C194:N194" si="28">C20*100</f>
        <v>#REF!</v>
      </c>
      <c r="D194" s="89" t="e">
        <f t="shared" si="28"/>
        <v>#REF!</v>
      </c>
      <c r="E194" s="89" t="e">
        <f t="shared" si="28"/>
        <v>#REF!</v>
      </c>
      <c r="F194" s="89" t="e">
        <f t="shared" si="28"/>
        <v>#REF!</v>
      </c>
      <c r="G194" s="89" t="e">
        <f t="shared" si="28"/>
        <v>#REF!</v>
      </c>
      <c r="H194" s="89" t="e">
        <f t="shared" si="28"/>
        <v>#REF!</v>
      </c>
      <c r="I194" s="89" t="e">
        <f t="shared" si="28"/>
        <v>#REF!</v>
      </c>
      <c r="J194" s="89" t="e">
        <f t="shared" si="28"/>
        <v>#REF!</v>
      </c>
      <c r="K194" s="89" t="e">
        <f t="shared" si="28"/>
        <v>#REF!</v>
      </c>
      <c r="L194" s="89" t="e">
        <f t="shared" si="28"/>
        <v>#REF!</v>
      </c>
      <c r="M194" s="89" t="e">
        <f>M20*100</f>
        <v>#REF!</v>
      </c>
      <c r="N194" s="89" t="e">
        <f t="shared" si="28"/>
        <v>#REF!</v>
      </c>
      <c r="O194" s="89"/>
      <c r="R194" s="67" t="e">
        <f>C194</f>
        <v>#REF!</v>
      </c>
      <c r="S194" s="67" t="e">
        <f>G194</f>
        <v>#REF!</v>
      </c>
      <c r="T194" s="67" t="e">
        <f>K194</f>
        <v>#REF!</v>
      </c>
      <c r="U194" s="67" t="e">
        <f>I194</f>
        <v>#REF!</v>
      </c>
      <c r="V194" s="67" t="e">
        <f>N194</f>
        <v>#REF!</v>
      </c>
    </row>
    <row r="195" spans="1:22">
      <c r="B195" s="67" t="e">
        <f t="shared" ref="B195:L195" si="29">B196-B194</f>
        <v>#REF!</v>
      </c>
      <c r="C195" s="67" t="e">
        <f t="shared" si="29"/>
        <v>#REF!</v>
      </c>
      <c r="D195" s="67" t="e">
        <f t="shared" si="29"/>
        <v>#REF!</v>
      </c>
      <c r="E195" s="67" t="e">
        <f t="shared" si="29"/>
        <v>#REF!</v>
      </c>
      <c r="F195" s="67" t="e">
        <f t="shared" si="29"/>
        <v>#REF!</v>
      </c>
      <c r="G195" s="67" t="e">
        <f t="shared" si="29"/>
        <v>#REF!</v>
      </c>
      <c r="H195" s="67" t="e">
        <f t="shared" si="29"/>
        <v>#REF!</v>
      </c>
      <c r="I195" s="67" t="e">
        <f t="shared" si="29"/>
        <v>#REF!</v>
      </c>
      <c r="J195" s="67" t="e">
        <f t="shared" si="29"/>
        <v>#REF!</v>
      </c>
      <c r="K195" s="67" t="e">
        <f t="shared" si="29"/>
        <v>#REF!</v>
      </c>
      <c r="L195" s="67" t="e">
        <f t="shared" si="29"/>
        <v>#REF!</v>
      </c>
      <c r="M195" s="67" t="e">
        <f>M196-M194</f>
        <v>#REF!</v>
      </c>
      <c r="N195" s="67" t="e">
        <f>N196-N194</f>
        <v>#REF!</v>
      </c>
      <c r="O195" s="89"/>
      <c r="R195" s="67" t="e">
        <f>R196-R194</f>
        <v>#REF!</v>
      </c>
      <c r="S195" s="67" t="e">
        <f>S196-S194</f>
        <v>#REF!</v>
      </c>
      <c r="T195" s="67" t="e">
        <f>T196-T194</f>
        <v>#REF!</v>
      </c>
      <c r="U195" s="67" t="e">
        <f>U196-U194</f>
        <v>#REF!</v>
      </c>
      <c r="V195" s="67" t="e">
        <f>V196-V194</f>
        <v>#REF!</v>
      </c>
    </row>
    <row r="196" spans="1:22">
      <c r="A196" s="39" t="s">
        <v>257</v>
      </c>
      <c r="B196" s="89" t="e">
        <f t="shared" ref="B196:N196" si="30">B19*100</f>
        <v>#REF!</v>
      </c>
      <c r="C196" s="89" t="e">
        <f t="shared" si="30"/>
        <v>#REF!</v>
      </c>
      <c r="D196" s="89" t="e">
        <f t="shared" si="30"/>
        <v>#REF!</v>
      </c>
      <c r="E196" s="89" t="e">
        <f t="shared" si="30"/>
        <v>#REF!</v>
      </c>
      <c r="F196" s="89" t="e">
        <f t="shared" si="30"/>
        <v>#REF!</v>
      </c>
      <c r="G196" s="89" t="e">
        <f t="shared" si="30"/>
        <v>#REF!</v>
      </c>
      <c r="H196" s="89" t="e">
        <f t="shared" si="30"/>
        <v>#REF!</v>
      </c>
      <c r="I196" s="89" t="e">
        <f t="shared" si="30"/>
        <v>#REF!</v>
      </c>
      <c r="J196" s="89" t="e">
        <f t="shared" si="30"/>
        <v>#REF!</v>
      </c>
      <c r="K196" s="89" t="e">
        <f t="shared" si="30"/>
        <v>#REF!</v>
      </c>
      <c r="L196" s="89" t="e">
        <f t="shared" si="30"/>
        <v>#REF!</v>
      </c>
      <c r="M196" s="89" t="e">
        <f>M19*100</f>
        <v>#REF!</v>
      </c>
      <c r="N196" s="89" t="e">
        <f t="shared" si="30"/>
        <v>#REF!</v>
      </c>
      <c r="R196" s="67" t="e">
        <f>C196</f>
        <v>#REF!</v>
      </c>
      <c r="S196" s="67" t="e">
        <f>G196</f>
        <v>#REF!</v>
      </c>
      <c r="T196" s="67" t="e">
        <f>K196</f>
        <v>#REF!</v>
      </c>
      <c r="U196" s="67" t="e">
        <f>I196</f>
        <v>#REF!</v>
      </c>
      <c r="V196" s="67" t="e">
        <f>N196</f>
        <v>#REF!</v>
      </c>
    </row>
    <row r="197" spans="1:22">
      <c r="E197" s="89">
        <v>130</v>
      </c>
      <c r="F197" s="89">
        <v>130</v>
      </c>
      <c r="G197" s="89">
        <v>130</v>
      </c>
      <c r="H197" s="89">
        <v>130</v>
      </c>
      <c r="I197" s="89">
        <v>130</v>
      </c>
      <c r="J197" s="89">
        <v>130</v>
      </c>
      <c r="K197" s="89">
        <v>130</v>
      </c>
      <c r="L197" s="89">
        <v>130</v>
      </c>
      <c r="M197" s="89">
        <v>130</v>
      </c>
      <c r="N197" s="89">
        <v>130</v>
      </c>
    </row>
    <row r="208" spans="1:22">
      <c r="B208" s="39" t="str">
        <f>B193</f>
        <v>Q3 10</v>
      </c>
      <c r="C208" s="39" t="str">
        <f t="shared" ref="C208:K208" si="31">C193</f>
        <v>Q4 10</v>
      </c>
      <c r="D208" s="39" t="str">
        <f t="shared" si="31"/>
        <v>Q1 11</v>
      </c>
      <c r="E208" s="39" t="str">
        <f t="shared" si="31"/>
        <v>Q2 11</v>
      </c>
      <c r="F208" s="39" t="str">
        <f t="shared" si="31"/>
        <v>Q3 11</v>
      </c>
      <c r="G208" s="39" t="str">
        <f t="shared" si="31"/>
        <v>Q4 11</v>
      </c>
      <c r="H208" s="39" t="str">
        <f t="shared" si="31"/>
        <v>Q1 12</v>
      </c>
      <c r="I208" s="39" t="str">
        <f t="shared" si="31"/>
        <v>Q2 12</v>
      </c>
      <c r="J208" s="39" t="str">
        <f t="shared" si="31"/>
        <v>Q3 12</v>
      </c>
      <c r="K208" s="39" t="str">
        <f t="shared" si="31"/>
        <v>Q4 12</v>
      </c>
      <c r="L208" s="39" t="str">
        <f>L193</f>
        <v>Q1 13</v>
      </c>
      <c r="M208" s="39"/>
      <c r="N208" s="39" t="e">
        <f>N194</f>
        <v>#REF!</v>
      </c>
      <c r="O208" s="39"/>
    </row>
    <row r="209" spans="1:16">
      <c r="A209" s="39" t="s">
        <v>154</v>
      </c>
      <c r="B209" s="88" t="e">
        <f>#REF!*100</f>
        <v>#REF!</v>
      </c>
      <c r="C209" s="88" t="e">
        <f>#REF!*100</f>
        <v>#REF!</v>
      </c>
      <c r="D209" s="88" t="e">
        <f>#REF!*100</f>
        <v>#REF!</v>
      </c>
      <c r="E209" s="88" t="e">
        <f>#REF!*100</f>
        <v>#REF!</v>
      </c>
      <c r="F209" s="88" t="e">
        <f>#REF!*100</f>
        <v>#REF!</v>
      </c>
      <c r="G209" s="88" t="e">
        <f>#REF!*100</f>
        <v>#REF!</v>
      </c>
      <c r="H209" s="88" t="e">
        <f>#REF!*100</f>
        <v>#REF!</v>
      </c>
      <c r="I209" s="88" t="e">
        <f>#REF!*100</f>
        <v>#REF!</v>
      </c>
      <c r="J209" s="88" t="e">
        <f>#REF!*100</f>
        <v>#REF!</v>
      </c>
      <c r="K209" s="88" t="e">
        <f>#REF!*100</f>
        <v>#REF!</v>
      </c>
      <c r="L209" s="88" t="e">
        <f>#REF!*100</f>
        <v>#REF!</v>
      </c>
      <c r="M209" s="88"/>
      <c r="N209" s="88" t="e">
        <f>#REF!*100</f>
        <v>#REF!</v>
      </c>
      <c r="O209" s="88"/>
      <c r="P209" s="88"/>
    </row>
    <row r="223" spans="1:16">
      <c r="B223" s="39" t="str">
        <f>B208</f>
        <v>Q3 10</v>
      </c>
      <c r="C223" s="39" t="str">
        <f>C208</f>
        <v>Q4 10</v>
      </c>
      <c r="D223" s="39" t="str">
        <f>D208</f>
        <v>Q1 11</v>
      </c>
      <c r="E223" s="39" t="str">
        <f>E208</f>
        <v>Q2 11</v>
      </c>
      <c r="F223" s="39" t="str">
        <f>F208</f>
        <v>Q3 11</v>
      </c>
      <c r="G223" s="39">
        <v>2010</v>
      </c>
      <c r="H223" s="39">
        <v>2011</v>
      </c>
      <c r="I223" s="39">
        <v>2012</v>
      </c>
      <c r="J223" s="39" t="s">
        <v>260</v>
      </c>
    </row>
    <row r="224" spans="1:16">
      <c r="A224" s="39" t="s">
        <v>130</v>
      </c>
      <c r="G224" s="8">
        <v>11.1</v>
      </c>
      <c r="H224" s="8" t="e">
        <f>#REF!</f>
        <v>#REF!</v>
      </c>
      <c r="I224" s="42" t="e">
        <f>#REF!</f>
        <v>#REF!</v>
      </c>
      <c r="J224" s="42" t="e">
        <f>#REF!</f>
        <v>#REF!</v>
      </c>
    </row>
    <row r="237" spans="1:14">
      <c r="B237" s="39" t="str">
        <f>B179</f>
        <v>Q3 10</v>
      </c>
      <c r="C237" s="39" t="str">
        <f t="shared" ref="C237:N237" si="32">C179</f>
        <v>Q4 10</v>
      </c>
      <c r="D237" s="39" t="str">
        <f t="shared" si="32"/>
        <v>Q1 11</v>
      </c>
      <c r="E237" s="39" t="str">
        <f t="shared" si="32"/>
        <v>Q2 11</v>
      </c>
      <c r="F237" s="39" t="str">
        <f t="shared" si="32"/>
        <v>Q3 11</v>
      </c>
      <c r="G237" s="39" t="str">
        <f t="shared" si="32"/>
        <v>Q4 11</v>
      </c>
      <c r="H237" s="39" t="str">
        <f t="shared" si="32"/>
        <v>Q1 12</v>
      </c>
      <c r="I237" s="39" t="str">
        <f t="shared" si="32"/>
        <v>Q2 12</v>
      </c>
      <c r="J237" s="39" t="str">
        <f t="shared" si="32"/>
        <v>Q3 12</v>
      </c>
      <c r="K237" s="39" t="str">
        <f t="shared" si="32"/>
        <v>Q4 12</v>
      </c>
      <c r="L237" s="39" t="str">
        <f t="shared" si="32"/>
        <v>Q1 13</v>
      </c>
      <c r="M237" s="39" t="str">
        <f t="shared" si="32"/>
        <v>Q2 13</v>
      </c>
      <c r="N237" s="39" t="str">
        <f t="shared" si="32"/>
        <v>Q3 13</v>
      </c>
    </row>
    <row r="238" spans="1:14">
      <c r="A238" s="8" t="s">
        <v>105</v>
      </c>
      <c r="D238" s="34">
        <v>9.5</v>
      </c>
      <c r="E238" s="8">
        <v>15</v>
      </c>
      <c r="F238" s="8">
        <v>9.5</v>
      </c>
      <c r="G238" s="8">
        <v>-0.7</v>
      </c>
      <c r="H238" s="8">
        <v>10.9</v>
      </c>
      <c r="I238" s="8">
        <v>14.1</v>
      </c>
      <c r="J238" s="8">
        <v>9.4</v>
      </c>
      <c r="K238" s="8">
        <v>10.5</v>
      </c>
      <c r="L238" s="8">
        <f>20.8-12.1</f>
        <v>8.7000000000000011</v>
      </c>
      <c r="M238" s="8">
        <v>12.1</v>
      </c>
    </row>
    <row r="242" spans="1:16">
      <c r="P242" s="8" t="s">
        <v>105</v>
      </c>
    </row>
    <row r="243" spans="1:16">
      <c r="B243" s="39" t="str">
        <f>B237</f>
        <v>Q3 10</v>
      </c>
      <c r="C243" s="39" t="str">
        <f t="shared" ref="C243:N243" si="33">C237</f>
        <v>Q4 10</v>
      </c>
      <c r="D243" s="39" t="str">
        <f t="shared" si="33"/>
        <v>Q1 11</v>
      </c>
      <c r="E243" s="39" t="str">
        <f t="shared" si="33"/>
        <v>Q2 11</v>
      </c>
      <c r="F243" s="39" t="str">
        <f t="shared" si="33"/>
        <v>Q3 11</v>
      </c>
      <c r="G243" s="39" t="str">
        <f t="shared" si="33"/>
        <v>Q4 11</v>
      </c>
      <c r="H243" s="39" t="str">
        <f t="shared" si="33"/>
        <v>Q1 12</v>
      </c>
      <c r="I243" s="39" t="str">
        <f t="shared" si="33"/>
        <v>Q2 12</v>
      </c>
      <c r="J243" s="39" t="str">
        <f t="shared" si="33"/>
        <v>Q3 12</v>
      </c>
      <c r="K243" s="39" t="str">
        <f t="shared" si="33"/>
        <v>Q4 12</v>
      </c>
      <c r="L243" s="39" t="str">
        <f t="shared" si="33"/>
        <v>Q1 13</v>
      </c>
      <c r="M243" s="39" t="str">
        <f t="shared" si="33"/>
        <v>Q2 13</v>
      </c>
      <c r="N243" s="39" t="str">
        <f t="shared" si="33"/>
        <v>Q3 13</v>
      </c>
    </row>
    <row r="244" spans="1:16">
      <c r="A244" s="8" t="s">
        <v>258</v>
      </c>
      <c r="D244" s="34">
        <v>3</v>
      </c>
      <c r="E244" s="8">
        <v>7.2</v>
      </c>
      <c r="F244" s="8">
        <v>3.4</v>
      </c>
      <c r="G244" s="8">
        <v>-2.6</v>
      </c>
      <c r="H244" s="8">
        <v>4.5</v>
      </c>
      <c r="I244" s="8">
        <v>6.8</v>
      </c>
      <c r="J244" s="8">
        <v>3.3</v>
      </c>
      <c r="K244" s="8">
        <v>2.5</v>
      </c>
      <c r="L244" s="8">
        <f>5.9-4.5</f>
        <v>1.4000000000000004</v>
      </c>
      <c r="M244" s="8">
        <v>4.5</v>
      </c>
    </row>
    <row r="252" spans="1:16">
      <c r="P252" s="8"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B2:V338"/>
  <sheetViews>
    <sheetView showGridLines="0" workbookViewId="0">
      <selection activeCell="S21" sqref="S21"/>
    </sheetView>
  </sheetViews>
  <sheetFormatPr defaultColWidth="9.1796875" defaultRowHeight="14.5" outlineLevelRow="1" outlineLevelCol="1"/>
  <cols>
    <col min="1" max="1" width="7.81640625" style="12" customWidth="1"/>
    <col min="2" max="2" width="45.26953125" style="12" customWidth="1"/>
    <col min="3" max="4" width="11.7265625" style="12" customWidth="1"/>
    <col min="5" max="8" width="11.7265625" style="12" hidden="1" customWidth="1" outlineLevel="1"/>
    <col min="9" max="9" width="7.7265625" style="12" customWidth="1" collapsed="1"/>
    <col min="10" max="10" width="7.7265625" style="12" customWidth="1"/>
    <col min="11" max="12" width="10.7265625" style="12" customWidth="1"/>
    <col min="13" max="13" width="6.26953125" bestFit="1" customWidth="1"/>
    <col min="14" max="14" width="10.7265625" customWidth="1"/>
    <col min="15" max="15" width="10.7265625" style="12" customWidth="1"/>
    <col min="16" max="16" width="9.1796875" customWidth="1" outlineLevel="1"/>
    <col min="17" max="17" width="6.7265625" style="12" customWidth="1"/>
    <col min="18" max="18" width="9.1796875" style="12"/>
    <col min="19" max="19" width="9.81640625" style="12" bestFit="1" customWidth="1"/>
    <col min="20" max="16384" width="9.1796875" style="12"/>
  </cols>
  <sheetData>
    <row r="2" spans="2:22" ht="15.75" customHeight="1">
      <c r="B2" s="108" t="s">
        <v>209</v>
      </c>
      <c r="C2" s="108"/>
      <c r="D2" s="108"/>
      <c r="E2" s="108"/>
      <c r="F2" s="108"/>
      <c r="G2" s="43"/>
      <c r="H2" s="43"/>
      <c r="I2" s="43"/>
      <c r="J2" s="43"/>
      <c r="K2" s="22"/>
      <c r="L2" s="22"/>
      <c r="Q2" s="14"/>
      <c r="S2" s="14"/>
      <c r="T2" s="15"/>
    </row>
    <row r="3" spans="2:22" ht="5.25" customHeight="1">
      <c r="B3" s="43"/>
      <c r="C3" s="43"/>
      <c r="D3" s="43"/>
      <c r="E3" s="43"/>
      <c r="F3" s="43"/>
      <c r="M3" s="12"/>
      <c r="N3" s="12"/>
      <c r="P3" s="12"/>
      <c r="T3" s="16"/>
    </row>
    <row r="4" spans="2:22" ht="16.5" customHeight="1">
      <c r="B4" s="50" t="s">
        <v>22</v>
      </c>
      <c r="C4" s="51" t="s">
        <v>269</v>
      </c>
      <c r="D4" s="51" t="s">
        <v>268</v>
      </c>
      <c r="E4" s="51" t="s">
        <v>267</v>
      </c>
      <c r="F4" s="51" t="s">
        <v>262</v>
      </c>
      <c r="G4" s="51" t="s">
        <v>235</v>
      </c>
      <c r="H4" s="51" t="s">
        <v>231</v>
      </c>
      <c r="I4" s="51" t="s">
        <v>36</v>
      </c>
      <c r="J4" s="51" t="s">
        <v>58</v>
      </c>
      <c r="K4" s="51" t="s">
        <v>132</v>
      </c>
      <c r="L4" s="51" t="s">
        <v>157</v>
      </c>
      <c r="N4" s="51" t="s">
        <v>285</v>
      </c>
      <c r="O4" s="51" t="s">
        <v>286</v>
      </c>
      <c r="P4" s="51" t="s">
        <v>58</v>
      </c>
      <c r="Q4" s="51" t="s">
        <v>36</v>
      </c>
      <c r="R4" s="18"/>
      <c r="T4" s="18"/>
    </row>
    <row r="5" spans="2:22" ht="16.5" customHeight="1">
      <c r="B5" t="s">
        <v>0</v>
      </c>
      <c r="C5" s="176" t="e">
        <f>+#REF!</f>
        <v>#REF!</v>
      </c>
      <c r="D5" s="176" t="e">
        <f>#REF!</f>
        <v>#REF!</v>
      </c>
      <c r="E5" s="176" t="e">
        <f>#REF!</f>
        <v>#REF!</v>
      </c>
      <c r="F5" s="176" t="e">
        <f>#REF!</f>
        <v>#REF!</v>
      </c>
      <c r="G5" s="176" t="e">
        <f>#REF!</f>
        <v>#REF!</v>
      </c>
      <c r="H5" s="176" t="e">
        <f>#REF!</f>
        <v>#REF!</v>
      </c>
      <c r="I5" s="59" t="e">
        <f t="shared" ref="I5:I18" si="0">C5/G5-1</f>
        <v>#REF!</v>
      </c>
      <c r="J5" s="183" t="e">
        <f t="shared" ref="J5:J17" si="1">C5-G5</f>
        <v>#REF!</v>
      </c>
      <c r="K5" s="52" t="e">
        <f>#REF!</f>
        <v>#REF!</v>
      </c>
      <c r="L5" s="52" t="e">
        <f>#REF!</f>
        <v>#REF!</v>
      </c>
      <c r="N5" s="52" t="e">
        <f>+SUM(C5:D5)</f>
        <v>#REF!</v>
      </c>
      <c r="O5" s="52">
        <v>12667</v>
      </c>
      <c r="P5" s="61" t="e">
        <f>N5-O5</f>
        <v>#REF!</v>
      </c>
      <c r="Q5" s="58" t="e">
        <f t="shared" ref="Q5:Q18" si="2">N5/O5-1</f>
        <v>#REF!</v>
      </c>
      <c r="R5" s="14"/>
      <c r="S5" s="14" t="e">
        <f>G5-H5</f>
        <v>#REF!</v>
      </c>
      <c r="T5" s="14"/>
      <c r="V5" s="14"/>
    </row>
    <row r="6" spans="2:22" ht="16.5" customHeight="1">
      <c r="B6" t="s">
        <v>70</v>
      </c>
      <c r="C6" s="176" t="e">
        <f>#REF!</f>
        <v>#REF!</v>
      </c>
      <c r="D6" s="176" t="e">
        <f>#REF!</f>
        <v>#REF!</v>
      </c>
      <c r="E6" s="176" t="e">
        <f>#REF!</f>
        <v>#REF!</v>
      </c>
      <c r="F6" s="176" t="e">
        <f>#REF!</f>
        <v>#REF!</v>
      </c>
      <c r="G6" s="176" t="e">
        <f>#REF!</f>
        <v>#REF!</v>
      </c>
      <c r="H6" s="176" t="e">
        <f>#REF!</f>
        <v>#REF!</v>
      </c>
      <c r="I6" s="59" t="e">
        <f t="shared" si="0"/>
        <v>#REF!</v>
      </c>
      <c r="J6" s="183" t="e">
        <f t="shared" si="1"/>
        <v>#REF!</v>
      </c>
      <c r="K6" s="52" t="e">
        <f>#REF!</f>
        <v>#REF!</v>
      </c>
      <c r="L6" s="53" t="e">
        <f>#REF!</f>
        <v>#REF!</v>
      </c>
      <c r="N6" s="52" t="e">
        <f>+SUM(C6:D6)</f>
        <v>#REF!</v>
      </c>
      <c r="O6" s="52">
        <v>134</v>
      </c>
      <c r="P6" s="61" t="e">
        <f t="shared" ref="P6:P21" si="3">N6-O6</f>
        <v>#REF!</v>
      </c>
      <c r="Q6" s="58" t="e">
        <f t="shared" si="2"/>
        <v>#REF!</v>
      </c>
      <c r="S6" s="14" t="e">
        <f>G6-H6</f>
        <v>#REF!</v>
      </c>
      <c r="T6" s="19"/>
    </row>
    <row r="7" spans="2:22" ht="16.5" customHeight="1">
      <c r="B7" t="s">
        <v>1</v>
      </c>
      <c r="C7" s="176" t="e">
        <f>#REF!</f>
        <v>#REF!</v>
      </c>
      <c r="D7" s="176" t="e">
        <f>#REF!</f>
        <v>#REF!</v>
      </c>
      <c r="E7" s="176" t="e">
        <f>#REF!</f>
        <v>#REF!</v>
      </c>
      <c r="F7" s="176" t="e">
        <f>#REF!</f>
        <v>#REF!</v>
      </c>
      <c r="G7" s="176" t="e">
        <f>#REF!</f>
        <v>#REF!</v>
      </c>
      <c r="H7" s="176" t="e">
        <f>#REF!</f>
        <v>#REF!</v>
      </c>
      <c r="I7" s="59" t="e">
        <f t="shared" si="0"/>
        <v>#REF!</v>
      </c>
      <c r="J7" s="183" t="e">
        <f t="shared" si="1"/>
        <v>#REF!</v>
      </c>
      <c r="K7" s="52" t="e">
        <f>#REF!</f>
        <v>#REF!</v>
      </c>
      <c r="L7" s="52" t="e">
        <f>#REF!</f>
        <v>#REF!</v>
      </c>
      <c r="N7" s="52" t="e">
        <f>SUM(C7:D7)</f>
        <v>#REF!</v>
      </c>
      <c r="O7" s="52">
        <v>5298</v>
      </c>
      <c r="P7" s="61" t="e">
        <f t="shared" si="3"/>
        <v>#REF!</v>
      </c>
      <c r="Q7" s="58" t="e">
        <f t="shared" si="2"/>
        <v>#REF!</v>
      </c>
      <c r="S7" s="14" t="e">
        <f>G7-H7</f>
        <v>#REF!</v>
      </c>
    </row>
    <row r="8" spans="2:22" ht="16.5" customHeight="1">
      <c r="B8" t="s">
        <v>2</v>
      </c>
      <c r="C8" s="176" t="e">
        <f>#REF!</f>
        <v>#REF!</v>
      </c>
      <c r="D8" s="176" t="e">
        <f>#REF!</f>
        <v>#REF!</v>
      </c>
      <c r="E8" s="176" t="e">
        <f>#REF!</f>
        <v>#REF!</v>
      </c>
      <c r="F8" s="176" t="e">
        <f>#REF!</f>
        <v>#REF!</v>
      </c>
      <c r="G8" s="176" t="e">
        <f>#REF!</f>
        <v>#REF!</v>
      </c>
      <c r="H8" s="176" t="e">
        <f>#REF!</f>
        <v>#REF!</v>
      </c>
      <c r="I8" s="59" t="e">
        <f t="shared" si="0"/>
        <v>#REF!</v>
      </c>
      <c r="J8" s="183" t="e">
        <f t="shared" si="1"/>
        <v>#REF!</v>
      </c>
      <c r="K8" s="52" t="e">
        <f>#REF!</f>
        <v>#REF!</v>
      </c>
      <c r="L8" s="52" t="e">
        <f>#REF!</f>
        <v>#REF!</v>
      </c>
      <c r="N8" s="52" t="e">
        <f>SUM(C8:D8)</f>
        <v>#REF!</v>
      </c>
      <c r="O8" s="52">
        <v>296</v>
      </c>
      <c r="P8" s="61" t="e">
        <f t="shared" si="3"/>
        <v>#REF!</v>
      </c>
      <c r="Q8" s="58" t="e">
        <f t="shared" si="2"/>
        <v>#REF!</v>
      </c>
      <c r="S8" s="14" t="e">
        <f>G8-H8</f>
        <v>#REF!</v>
      </c>
    </row>
    <row r="9" spans="2:22" ht="16.5" customHeight="1">
      <c r="B9" t="s">
        <v>3</v>
      </c>
      <c r="C9" s="176" t="e">
        <f>#REF!</f>
        <v>#REF!</v>
      </c>
      <c r="D9" s="176" t="e">
        <f>#REF!</f>
        <v>#REF!</v>
      </c>
      <c r="E9" s="176" t="e">
        <f>#REF!</f>
        <v>#REF!</v>
      </c>
      <c r="F9" s="176" t="e">
        <f>#REF!</f>
        <v>#REF!</v>
      </c>
      <c r="G9" s="176" t="e">
        <f>#REF!</f>
        <v>#REF!</v>
      </c>
      <c r="H9" s="176" t="e">
        <f>#REF!</f>
        <v>#REF!</v>
      </c>
      <c r="I9" s="59" t="e">
        <f t="shared" si="0"/>
        <v>#REF!</v>
      </c>
      <c r="J9" s="183" t="e">
        <f t="shared" si="1"/>
        <v>#REF!</v>
      </c>
      <c r="K9" s="52" t="e">
        <f>#REF!</f>
        <v>#REF!</v>
      </c>
      <c r="L9" s="52" t="e">
        <f>#REF!</f>
        <v>#REF!</v>
      </c>
      <c r="N9" s="52" t="e">
        <f>SUM(C9:D9)</f>
        <v>#REF!</v>
      </c>
      <c r="O9" s="52">
        <v>2425</v>
      </c>
      <c r="P9" s="61" t="e">
        <f t="shared" si="3"/>
        <v>#REF!</v>
      </c>
      <c r="Q9" s="58" t="e">
        <f t="shared" si="2"/>
        <v>#REF!</v>
      </c>
      <c r="S9" s="14" t="e">
        <f>G9-H9</f>
        <v>#REF!</v>
      </c>
    </row>
    <row r="10" spans="2:22" ht="16.5" customHeight="1">
      <c r="B10" s="179" t="s">
        <v>4</v>
      </c>
      <c r="C10" s="180" t="e">
        <f t="shared" ref="C10:H10" si="4">+SUM(C7:C9)</f>
        <v>#REF!</v>
      </c>
      <c r="D10" s="180" t="e">
        <f t="shared" si="4"/>
        <v>#REF!</v>
      </c>
      <c r="E10" s="180" t="e">
        <f t="shared" si="4"/>
        <v>#REF!</v>
      </c>
      <c r="F10" s="180" t="e">
        <f t="shared" si="4"/>
        <v>#REF!</v>
      </c>
      <c r="G10" s="180" t="e">
        <f t="shared" si="4"/>
        <v>#REF!</v>
      </c>
      <c r="H10" s="180" t="e">
        <f t="shared" si="4"/>
        <v>#REF!</v>
      </c>
      <c r="I10" s="181" t="e">
        <f t="shared" si="0"/>
        <v>#REF!</v>
      </c>
      <c r="J10" s="182" t="e">
        <f t="shared" si="1"/>
        <v>#REF!</v>
      </c>
      <c r="K10" s="182" t="e">
        <f>+SUM(K7:K9)</f>
        <v>#REF!</v>
      </c>
      <c r="L10" s="182" t="e">
        <f>+SUM(L7:L9)</f>
        <v>#REF!</v>
      </c>
      <c r="N10" s="182" t="e">
        <f>+SUM(N7:N9)</f>
        <v>#REF!</v>
      </c>
      <c r="O10" s="182">
        <f>+SUM(O7:O9)</f>
        <v>8019</v>
      </c>
      <c r="P10" s="182" t="e">
        <f t="shared" si="3"/>
        <v>#REF!</v>
      </c>
      <c r="Q10" s="184" t="e">
        <f t="shared" si="2"/>
        <v>#REF!</v>
      </c>
    </row>
    <row r="11" spans="2:22" ht="16.5" customHeight="1">
      <c r="B11" t="s">
        <v>5</v>
      </c>
      <c r="C11" s="176" t="e">
        <f>#REF!</f>
        <v>#REF!</v>
      </c>
      <c r="D11" s="176" t="e">
        <f>#REF!</f>
        <v>#REF!</v>
      </c>
      <c r="E11" s="176" t="e">
        <f>#REF!</f>
        <v>#REF!</v>
      </c>
      <c r="F11" s="176" t="e">
        <f>#REF!</f>
        <v>#REF!</v>
      </c>
      <c r="G11" s="176" t="e">
        <f>#REF!</f>
        <v>#REF!</v>
      </c>
      <c r="H11" s="176" t="e">
        <f>#REF!</f>
        <v>#REF!</v>
      </c>
      <c r="I11" s="59" t="e">
        <f t="shared" si="0"/>
        <v>#REF!</v>
      </c>
      <c r="J11" s="183" t="e">
        <f t="shared" si="1"/>
        <v>#REF!</v>
      </c>
      <c r="K11" s="52" t="e">
        <f>#REF!</f>
        <v>#REF!</v>
      </c>
      <c r="L11" s="52" t="e">
        <f>#REF!</f>
        <v>#REF!</v>
      </c>
      <c r="N11" s="52" t="e">
        <f>SUM(C11:D11)</f>
        <v>#REF!</v>
      </c>
      <c r="O11" s="52">
        <v>-6679</v>
      </c>
      <c r="P11" s="61" t="e">
        <f t="shared" si="3"/>
        <v>#REF!</v>
      </c>
      <c r="Q11" s="58" t="e">
        <f t="shared" si="2"/>
        <v>#REF!</v>
      </c>
    </row>
    <row r="12" spans="2:22" ht="16.5" customHeight="1">
      <c r="B12" t="s">
        <v>6</v>
      </c>
      <c r="C12" s="176" t="e">
        <f>#REF!</f>
        <v>#REF!</v>
      </c>
      <c r="D12" s="176" t="e">
        <f>#REF!</f>
        <v>#REF!</v>
      </c>
      <c r="E12" s="176" t="e">
        <f>#REF!</f>
        <v>#REF!</v>
      </c>
      <c r="F12" s="176" t="e">
        <f>#REF!</f>
        <v>#REF!</v>
      </c>
      <c r="G12" s="176" t="e">
        <f>#REF!</f>
        <v>#REF!</v>
      </c>
      <c r="H12" s="176" t="e">
        <f>#REF!</f>
        <v>#REF!</v>
      </c>
      <c r="I12" s="59" t="e">
        <f t="shared" si="0"/>
        <v>#REF!</v>
      </c>
      <c r="J12" s="183" t="e">
        <f t="shared" si="1"/>
        <v>#REF!</v>
      </c>
      <c r="K12" s="52" t="e">
        <f>#REF!</f>
        <v>#REF!</v>
      </c>
      <c r="L12" s="52" t="e">
        <f>#REF!</f>
        <v>#REF!</v>
      </c>
      <c r="N12" s="52" t="e">
        <f>SUM(C12:D12)</f>
        <v>#REF!</v>
      </c>
      <c r="O12" s="52">
        <v>-6228</v>
      </c>
      <c r="P12" s="61" t="e">
        <f t="shared" si="3"/>
        <v>#REF!</v>
      </c>
      <c r="Q12" s="58" t="e">
        <f t="shared" si="2"/>
        <v>#REF!</v>
      </c>
    </row>
    <row r="13" spans="2:22" ht="16.5" customHeight="1">
      <c r="B13" t="s">
        <v>70</v>
      </c>
      <c r="C13" s="176" t="e">
        <f>+#REF!</f>
        <v>#REF!</v>
      </c>
      <c r="D13" s="176" t="e">
        <f>+#REF!</f>
        <v>#REF!</v>
      </c>
      <c r="E13" s="176" t="e">
        <f>+#REF!</f>
        <v>#REF!</v>
      </c>
      <c r="F13" s="176" t="e">
        <f>#REF!</f>
        <v>#REF!</v>
      </c>
      <c r="G13" s="176" t="e">
        <f>#REF!</f>
        <v>#REF!</v>
      </c>
      <c r="H13" s="176" t="e">
        <f>+SUM(H5:H6)</f>
        <v>#REF!</v>
      </c>
      <c r="I13" s="59" t="e">
        <f t="shared" si="0"/>
        <v>#REF!</v>
      </c>
      <c r="J13" s="183" t="e">
        <f t="shared" si="1"/>
        <v>#REF!</v>
      </c>
      <c r="K13" s="52" t="e">
        <f>#REF!</f>
        <v>#REF!</v>
      </c>
      <c r="L13" s="52" t="e">
        <f>#REF!</f>
        <v>#REF!</v>
      </c>
      <c r="N13" s="52" t="e">
        <f>SUM(C13:D13)</f>
        <v>#REF!</v>
      </c>
      <c r="O13" s="52"/>
      <c r="P13" s="61" t="e">
        <f>N13-O13</f>
        <v>#REF!</v>
      </c>
      <c r="Q13" s="58" t="e">
        <f>N13/O13-1</f>
        <v>#REF!</v>
      </c>
    </row>
    <row r="14" spans="2:22" ht="16.5" customHeight="1">
      <c r="B14" s="179" t="s">
        <v>7</v>
      </c>
      <c r="C14" s="180" t="e">
        <f t="shared" ref="C14:H14" si="5">+SUM(C10:C13)</f>
        <v>#REF!</v>
      </c>
      <c r="D14" s="180" t="e">
        <f t="shared" si="5"/>
        <v>#REF!</v>
      </c>
      <c r="E14" s="180" t="e">
        <f t="shared" si="5"/>
        <v>#REF!</v>
      </c>
      <c r="F14" s="180" t="e">
        <f t="shared" si="5"/>
        <v>#REF!</v>
      </c>
      <c r="G14" s="180" t="e">
        <f t="shared" si="5"/>
        <v>#REF!</v>
      </c>
      <c r="H14" s="180" t="e">
        <f t="shared" si="5"/>
        <v>#REF!</v>
      </c>
      <c r="I14" s="181" t="e">
        <f t="shared" si="0"/>
        <v>#REF!</v>
      </c>
      <c r="J14" s="182" t="e">
        <f t="shared" si="1"/>
        <v>#REF!</v>
      </c>
      <c r="K14" s="180" t="e">
        <f>+SUM(K10:K13)</f>
        <v>#REF!</v>
      </c>
      <c r="L14" s="180" t="e">
        <f>+SUM(L10:L13)</f>
        <v>#REF!</v>
      </c>
      <c r="N14" s="180" t="e">
        <f>+SUM(N10:N13)</f>
        <v>#REF!</v>
      </c>
      <c r="O14" s="180">
        <f>+SUM(O10:O13)</f>
        <v>-4888</v>
      </c>
      <c r="P14" s="182" t="e">
        <f t="shared" si="3"/>
        <v>#REF!</v>
      </c>
      <c r="Q14" s="184" t="e">
        <f t="shared" si="2"/>
        <v>#REF!</v>
      </c>
    </row>
    <row r="15" spans="2:22" ht="16.5" customHeight="1">
      <c r="B15" t="s">
        <v>40</v>
      </c>
      <c r="C15" s="176" t="e">
        <f>#REF!</f>
        <v>#REF!</v>
      </c>
      <c r="D15" s="176" t="e">
        <f>#REF!</f>
        <v>#REF!</v>
      </c>
      <c r="E15" s="176" t="e">
        <f>#REF!</f>
        <v>#REF!</v>
      </c>
      <c r="F15" s="176" t="e">
        <f>#REF!</f>
        <v>#REF!</v>
      </c>
      <c r="G15" s="176" t="e">
        <f>#REF!</f>
        <v>#REF!</v>
      </c>
      <c r="H15" s="176" t="e">
        <f>#REF!</f>
        <v>#REF!</v>
      </c>
      <c r="I15" s="59" t="e">
        <f t="shared" si="0"/>
        <v>#REF!</v>
      </c>
      <c r="J15" s="183" t="e">
        <f t="shared" si="1"/>
        <v>#REF!</v>
      </c>
      <c r="K15" s="52" t="e">
        <f>#REF!</f>
        <v>#REF!</v>
      </c>
      <c r="L15" s="52" t="e">
        <f>#REF!</f>
        <v>#REF!</v>
      </c>
      <c r="N15" s="52" t="e">
        <f>SUM(C15:D15)</f>
        <v>#REF!</v>
      </c>
      <c r="O15" s="52">
        <v>-2913</v>
      </c>
      <c r="P15" s="61" t="e">
        <f t="shared" si="3"/>
        <v>#REF!</v>
      </c>
      <c r="Q15" s="58" t="e">
        <f t="shared" si="2"/>
        <v>#REF!</v>
      </c>
    </row>
    <row r="16" spans="2:22" ht="16.5" customHeight="1">
      <c r="B16" t="s">
        <v>39</v>
      </c>
      <c r="C16" s="176" t="e">
        <f>#REF!</f>
        <v>#REF!</v>
      </c>
      <c r="D16" s="176" t="e">
        <f>#REF!</f>
        <v>#REF!</v>
      </c>
      <c r="E16" s="176" t="e">
        <f>#REF!</f>
        <v>#REF!</v>
      </c>
      <c r="F16" s="176" t="e">
        <f>#REF!</f>
        <v>#REF!</v>
      </c>
      <c r="G16" s="176" t="e">
        <f>#REF!</f>
        <v>#REF!</v>
      </c>
      <c r="H16" s="176" t="e">
        <f>#REF!</f>
        <v>#REF!</v>
      </c>
      <c r="I16" s="59" t="e">
        <f t="shared" si="0"/>
        <v>#REF!</v>
      </c>
      <c r="J16" s="183" t="e">
        <f t="shared" si="1"/>
        <v>#REF!</v>
      </c>
      <c r="K16" s="52" t="e">
        <f>#REF!</f>
        <v>#REF!</v>
      </c>
      <c r="L16" s="52" t="e">
        <f>#REF!</f>
        <v>#REF!</v>
      </c>
      <c r="N16" s="52" t="e">
        <f>SUM(C16:D16)</f>
        <v>#REF!</v>
      </c>
      <c r="O16" s="52">
        <v>-510</v>
      </c>
      <c r="P16" s="61" t="e">
        <f t="shared" si="3"/>
        <v>#REF!</v>
      </c>
      <c r="Q16" s="58" t="e">
        <f t="shared" si="2"/>
        <v>#REF!</v>
      </c>
    </row>
    <row r="17" spans="2:20" ht="16.5" customHeight="1">
      <c r="B17" t="s">
        <v>155</v>
      </c>
      <c r="C17" s="176" t="e">
        <f>#REF!</f>
        <v>#REF!</v>
      </c>
      <c r="D17" s="176" t="e">
        <f>#REF!</f>
        <v>#REF!</v>
      </c>
      <c r="E17" s="176" t="e">
        <f>#REF!</f>
        <v>#REF!</v>
      </c>
      <c r="F17" s="176" t="e">
        <f>#REF!</f>
        <v>#REF!</v>
      </c>
      <c r="G17" s="176" t="e">
        <f>#REF!</f>
        <v>#REF!</v>
      </c>
      <c r="H17" s="176" t="e">
        <f>#REF!</f>
        <v>#REF!</v>
      </c>
      <c r="I17" s="59" t="e">
        <f t="shared" si="0"/>
        <v>#REF!</v>
      </c>
      <c r="J17" s="183" t="e">
        <f t="shared" si="1"/>
        <v>#REF!</v>
      </c>
      <c r="K17" s="52" t="e">
        <f>#REF!</f>
        <v>#REF!</v>
      </c>
      <c r="L17" s="52" t="e">
        <f>#REF!</f>
        <v>#REF!</v>
      </c>
      <c r="N17" s="52" t="e">
        <f>SUM(C17:D17)</f>
        <v>#REF!</v>
      </c>
      <c r="O17" s="52">
        <v>1379</v>
      </c>
      <c r="P17" s="61" t="e">
        <f t="shared" si="3"/>
        <v>#REF!</v>
      </c>
      <c r="Q17" s="58" t="e">
        <f t="shared" si="2"/>
        <v>#REF!</v>
      </c>
    </row>
    <row r="18" spans="2:20" ht="16.5" customHeight="1">
      <c r="B18" s="179" t="s">
        <v>8</v>
      </c>
      <c r="C18" s="180" t="e">
        <f t="shared" ref="C18:H18" si="6">+SUM(C14:C17)</f>
        <v>#REF!</v>
      </c>
      <c r="D18" s="180" t="e">
        <f t="shared" si="6"/>
        <v>#REF!</v>
      </c>
      <c r="E18" s="180" t="e">
        <f t="shared" si="6"/>
        <v>#REF!</v>
      </c>
      <c r="F18" s="180" t="e">
        <f t="shared" si="6"/>
        <v>#REF!</v>
      </c>
      <c r="G18" s="180" t="e">
        <f t="shared" si="6"/>
        <v>#REF!</v>
      </c>
      <c r="H18" s="180" t="e">
        <f t="shared" si="6"/>
        <v>#REF!</v>
      </c>
      <c r="I18" s="181" t="e">
        <f t="shared" si="0"/>
        <v>#REF!</v>
      </c>
      <c r="J18" s="182" t="e">
        <f>H18-I18</f>
        <v>#REF!</v>
      </c>
      <c r="K18" s="182" t="e">
        <f>+SUM(K14:K17)</f>
        <v>#REF!</v>
      </c>
      <c r="L18" s="182" t="e">
        <f>#REF!</f>
        <v>#REF!</v>
      </c>
      <c r="N18" s="182" t="e">
        <f>+SUM(N14:N17)</f>
        <v>#REF!</v>
      </c>
      <c r="O18" s="182">
        <f>+SUM(O14:O17)</f>
        <v>-6932</v>
      </c>
      <c r="P18" s="182" t="e">
        <f t="shared" si="3"/>
        <v>#REF!</v>
      </c>
      <c r="Q18" s="184" t="e">
        <f t="shared" si="2"/>
        <v>#REF!</v>
      </c>
      <c r="R18" s="25"/>
      <c r="T18" s="25"/>
    </row>
    <row r="19" spans="2:20" ht="13.5" customHeight="1">
      <c r="B19" s="54"/>
      <c r="C19" s="54"/>
      <c r="D19" s="54"/>
      <c r="E19" s="54"/>
      <c r="F19" s="131"/>
      <c r="G19" s="131"/>
      <c r="H19" s="131"/>
      <c r="I19" s="59"/>
      <c r="J19"/>
      <c r="K19" s="54"/>
      <c r="L19" s="54"/>
    </row>
    <row r="20" spans="2:20" ht="16.5" customHeight="1">
      <c r="B20" s="55" t="s">
        <v>94</v>
      </c>
      <c r="C20" s="176" t="e">
        <f>+#REF!</f>
        <v>#REF!</v>
      </c>
      <c r="D20" s="176" t="e">
        <f>+#REF!</f>
        <v>#REF!</v>
      </c>
      <c r="E20" s="55"/>
      <c r="F20" s="178">
        <v>3557</v>
      </c>
      <c r="G20" s="178">
        <v>4440</v>
      </c>
      <c r="H20" s="178">
        <v>1697</v>
      </c>
      <c r="I20" s="132">
        <f>G20/H20-1</f>
        <v>1.6163818503241014</v>
      </c>
      <c r="J20" s="61">
        <f>H20-I20</f>
        <v>1695.3836181496758</v>
      </c>
      <c r="K20" s="56">
        <v>3124</v>
      </c>
      <c r="L20" s="56" t="e">
        <f>#REF!-SUM('P&amp;L_Q (2) old'!H20:K20)</f>
        <v>#REF!</v>
      </c>
      <c r="N20" s="56" t="e">
        <f>#REF!</f>
        <v>#REF!</v>
      </c>
      <c r="O20" s="56" t="e">
        <f>#REF!</f>
        <v>#REF!</v>
      </c>
      <c r="P20" s="110" t="e">
        <f t="shared" si="3"/>
        <v>#REF!</v>
      </c>
      <c r="Q20" s="107" t="e">
        <f>N20/O20-1</f>
        <v>#REF!</v>
      </c>
    </row>
    <row r="21" spans="2:20" ht="16.5" customHeight="1">
      <c r="B21" s="57" t="s">
        <v>95</v>
      </c>
      <c r="C21" s="176" t="e">
        <f>+#REF!</f>
        <v>#REF!</v>
      </c>
      <c r="D21" s="176" t="e">
        <f>+#REF!</f>
        <v>#REF!</v>
      </c>
      <c r="E21" s="57"/>
      <c r="F21" s="176">
        <v>126</v>
      </c>
      <c r="G21" s="176">
        <v>62</v>
      </c>
      <c r="H21" s="176">
        <v>-288</v>
      </c>
      <c r="I21" s="132">
        <f>G21/H21-1</f>
        <v>-1.2152777777777777</v>
      </c>
      <c r="J21" s="61">
        <f>H21-I21</f>
        <v>-286.78472222222223</v>
      </c>
      <c r="K21" s="52">
        <v>164</v>
      </c>
      <c r="L21" s="52" t="e">
        <f>#REF!-SUM('P&amp;L_Q (2) old'!H21:K21)</f>
        <v>#REF!</v>
      </c>
      <c r="N21" s="52" t="e">
        <f>#REF!</f>
        <v>#REF!</v>
      </c>
      <c r="O21" s="52" t="e">
        <f>#REF!</f>
        <v>#REF!</v>
      </c>
      <c r="P21" s="61" t="e">
        <f t="shared" si="3"/>
        <v>#REF!</v>
      </c>
      <c r="Q21" s="58" t="e">
        <f>N21/O21-1</f>
        <v>#REF!</v>
      </c>
    </row>
    <row r="22" spans="2:20" ht="13.5" customHeight="1">
      <c r="B22" s="20"/>
      <c r="C22" s="176"/>
      <c r="D22" s="20"/>
      <c r="E22" s="20"/>
      <c r="F22" s="20"/>
      <c r="G22" s="20"/>
      <c r="H22" s="20"/>
      <c r="I22" s="20"/>
      <c r="J22" s="20"/>
      <c r="K22" s="20"/>
      <c r="L22" s="20"/>
    </row>
    <row r="23" spans="2:20">
      <c r="B23" s="57"/>
      <c r="C23" s="57"/>
      <c r="D23" s="57"/>
      <c r="E23" s="57"/>
      <c r="F23" s="129"/>
      <c r="G23" s="129"/>
      <c r="H23" s="129"/>
      <c r="I23" s="130"/>
      <c r="J23" s="130"/>
      <c r="K23" s="130"/>
      <c r="L23" s="130"/>
      <c r="M23" s="130"/>
      <c r="N23" s="130"/>
      <c r="O23" s="130"/>
      <c r="P23" s="130"/>
      <c r="Q23" s="130"/>
    </row>
    <row r="24" spans="2:20" ht="16.5" customHeight="1">
      <c r="B24" s="50" t="s">
        <v>22</v>
      </c>
      <c r="C24" s="50"/>
      <c r="D24" s="50"/>
      <c r="E24" s="50"/>
      <c r="F24" s="51" t="str">
        <f t="shared" ref="F24:G26" si="7">+N4</f>
        <v>6M 2014</v>
      </c>
      <c r="G24" s="51" t="str">
        <f t="shared" si="7"/>
        <v>6M 2013</v>
      </c>
      <c r="H24" s="51" t="str">
        <f>+Q4</f>
        <v>%</v>
      </c>
      <c r="I24" s="51" t="str">
        <f>+P4</f>
        <v>Diff</v>
      </c>
      <c r="J24" s="51"/>
      <c r="K24" s="129">
        <f>+R4</f>
        <v>0</v>
      </c>
      <c r="L24" s="129"/>
      <c r="O24" s="130"/>
      <c r="P24" s="130"/>
      <c r="Q24" s="130"/>
    </row>
    <row r="25" spans="2:20" ht="16.5" customHeight="1">
      <c r="B25" t="s">
        <v>0</v>
      </c>
      <c r="C25"/>
      <c r="D25"/>
      <c r="E25"/>
      <c r="F25" s="176" t="e">
        <f t="shared" si="7"/>
        <v>#REF!</v>
      </c>
      <c r="G25" s="176">
        <f t="shared" si="7"/>
        <v>12667</v>
      </c>
      <c r="H25" s="59" t="e">
        <f>+Q5</f>
        <v>#REF!</v>
      </c>
      <c r="I25" s="61" t="e">
        <f>+P5</f>
        <v>#REF!</v>
      </c>
      <c r="J25" s="61"/>
      <c r="K25" s="129">
        <f>+R5</f>
        <v>0</v>
      </c>
      <c r="L25" s="129"/>
    </row>
    <row r="26" spans="2:20" ht="16.5" customHeight="1">
      <c r="B26" t="s">
        <v>70</v>
      </c>
      <c r="C26"/>
      <c r="D26"/>
      <c r="E26"/>
      <c r="F26" s="176" t="e">
        <f t="shared" si="7"/>
        <v>#REF!</v>
      </c>
      <c r="G26" s="176">
        <f t="shared" si="7"/>
        <v>134</v>
      </c>
      <c r="H26" s="59" t="s">
        <v>110</v>
      </c>
      <c r="I26" s="61" t="e">
        <f>+P6</f>
        <v>#REF!</v>
      </c>
      <c r="J26" s="61"/>
      <c r="K26" s="129">
        <f>+R6</f>
        <v>0</v>
      </c>
      <c r="L26" s="129"/>
    </row>
    <row r="27" spans="2:20" ht="16.5" hidden="1" customHeight="1" outlineLevel="1">
      <c r="B27" s="50" t="s">
        <v>71</v>
      </c>
      <c r="C27" s="50"/>
      <c r="D27" s="50"/>
      <c r="E27" s="50"/>
      <c r="F27" s="178" t="e">
        <f>+N13</f>
        <v>#REF!</v>
      </c>
      <c r="G27" s="178">
        <f>+O13</f>
        <v>0</v>
      </c>
      <c r="H27" s="59" t="e">
        <f>+Q13</f>
        <v>#REF!</v>
      </c>
      <c r="I27" s="61" t="e">
        <f>+P13</f>
        <v>#REF!</v>
      </c>
      <c r="J27" s="61"/>
      <c r="K27" s="129" t="e">
        <f>+#REF!</f>
        <v>#REF!</v>
      </c>
      <c r="L27" s="129"/>
    </row>
    <row r="28" spans="2:20" ht="16.5" customHeight="1" collapsed="1">
      <c r="B28" t="s">
        <v>1</v>
      </c>
      <c r="C28"/>
      <c r="D28"/>
      <c r="E28"/>
      <c r="F28" s="176" t="e">
        <f t="shared" ref="F28:G33" si="8">+N7</f>
        <v>#REF!</v>
      </c>
      <c r="G28" s="176">
        <f t="shared" si="8"/>
        <v>5298</v>
      </c>
      <c r="H28" s="59" t="e">
        <f t="shared" ref="H28:H33" si="9">+Q7</f>
        <v>#REF!</v>
      </c>
      <c r="I28" s="61" t="e">
        <f t="shared" ref="I28:I33" si="10">+P7</f>
        <v>#REF!</v>
      </c>
      <c r="J28" s="61"/>
      <c r="K28" s="129">
        <f t="shared" ref="K28:K33" si="11">+R7</f>
        <v>0</v>
      </c>
      <c r="L28" s="129"/>
      <c r="O28" s="125"/>
    </row>
    <row r="29" spans="2:20" ht="16.5" customHeight="1">
      <c r="B29" t="s">
        <v>2</v>
      </c>
      <c r="C29"/>
      <c r="D29"/>
      <c r="E29"/>
      <c r="F29" s="176" t="e">
        <f t="shared" si="8"/>
        <v>#REF!</v>
      </c>
      <c r="G29" s="176">
        <f t="shared" si="8"/>
        <v>296</v>
      </c>
      <c r="H29" s="59" t="e">
        <f t="shared" si="9"/>
        <v>#REF!</v>
      </c>
      <c r="I29" s="61" t="e">
        <f t="shared" si="10"/>
        <v>#REF!</v>
      </c>
      <c r="J29" s="61"/>
      <c r="K29" s="129">
        <f t="shared" si="11"/>
        <v>0</v>
      </c>
      <c r="L29" s="129"/>
      <c r="O29" s="125"/>
    </row>
    <row r="30" spans="2:20" ht="16.5" customHeight="1">
      <c r="B30" t="s">
        <v>3</v>
      </c>
      <c r="C30"/>
      <c r="D30"/>
      <c r="E30"/>
      <c r="F30" s="176" t="e">
        <f t="shared" si="8"/>
        <v>#REF!</v>
      </c>
      <c r="G30" s="176">
        <f t="shared" si="8"/>
        <v>2425</v>
      </c>
      <c r="H30" s="59" t="e">
        <f t="shared" si="9"/>
        <v>#REF!</v>
      </c>
      <c r="I30" s="61" t="e">
        <f t="shared" si="10"/>
        <v>#REF!</v>
      </c>
      <c r="J30" s="61"/>
      <c r="K30" s="129">
        <f t="shared" si="11"/>
        <v>0</v>
      </c>
      <c r="L30" s="129"/>
    </row>
    <row r="31" spans="2:20" ht="16.5" customHeight="1">
      <c r="B31" s="111" t="s">
        <v>4</v>
      </c>
      <c r="C31" s="111"/>
      <c r="D31" s="111"/>
      <c r="E31" s="111"/>
      <c r="F31" s="177" t="e">
        <f t="shared" si="8"/>
        <v>#REF!</v>
      </c>
      <c r="G31" s="177">
        <f t="shared" si="8"/>
        <v>8019</v>
      </c>
      <c r="H31" s="115" t="e">
        <f t="shared" si="9"/>
        <v>#REF!</v>
      </c>
      <c r="I31" s="112" t="e">
        <f t="shared" si="10"/>
        <v>#REF!</v>
      </c>
      <c r="J31" s="112"/>
      <c r="K31" s="129">
        <f t="shared" si="11"/>
        <v>0</v>
      </c>
      <c r="L31" s="129"/>
    </row>
    <row r="32" spans="2:20" ht="16.5" customHeight="1">
      <c r="B32" t="s">
        <v>5</v>
      </c>
      <c r="C32"/>
      <c r="D32"/>
      <c r="E32"/>
      <c r="F32" s="176" t="e">
        <f t="shared" si="8"/>
        <v>#REF!</v>
      </c>
      <c r="G32" s="176">
        <f t="shared" si="8"/>
        <v>-6679</v>
      </c>
      <c r="H32" s="59" t="e">
        <f t="shared" si="9"/>
        <v>#REF!</v>
      </c>
      <c r="I32" s="61" t="e">
        <f t="shared" si="10"/>
        <v>#REF!</v>
      </c>
      <c r="J32" s="61"/>
      <c r="K32" s="129">
        <f t="shared" si="11"/>
        <v>0</v>
      </c>
      <c r="L32" s="129"/>
    </row>
    <row r="33" spans="2:18" ht="16.5" customHeight="1">
      <c r="B33" t="s">
        <v>6</v>
      </c>
      <c r="C33"/>
      <c r="D33"/>
      <c r="E33"/>
      <c r="F33" s="176" t="e">
        <f t="shared" si="8"/>
        <v>#REF!</v>
      </c>
      <c r="G33" s="176">
        <f t="shared" si="8"/>
        <v>-6228</v>
      </c>
      <c r="H33" s="59" t="e">
        <f t="shared" si="9"/>
        <v>#REF!</v>
      </c>
      <c r="I33" s="61" t="e">
        <f t="shared" si="10"/>
        <v>#REF!</v>
      </c>
      <c r="J33" s="61"/>
      <c r="K33" s="129">
        <f t="shared" si="11"/>
        <v>0</v>
      </c>
      <c r="L33" s="129"/>
      <c r="Q33" s="14"/>
    </row>
    <row r="34" spans="2:18" ht="16.5" customHeight="1">
      <c r="B34" s="111" t="s">
        <v>7</v>
      </c>
      <c r="C34" s="111"/>
      <c r="D34" s="111"/>
      <c r="E34" s="111"/>
      <c r="F34" s="177" t="e">
        <f t="shared" ref="F34:F40" si="12">+N14</f>
        <v>#REF!</v>
      </c>
      <c r="G34" s="177">
        <f t="shared" ref="G34:G40" si="13">+O14</f>
        <v>-4888</v>
      </c>
      <c r="H34" s="115" t="e">
        <f>+Q14</f>
        <v>#REF!</v>
      </c>
      <c r="I34" s="112" t="e">
        <f t="shared" ref="I34:I40" si="14">+P14</f>
        <v>#REF!</v>
      </c>
      <c r="J34" s="112"/>
      <c r="K34" s="129">
        <f t="shared" ref="K34:K40" si="15">+R14</f>
        <v>0</v>
      </c>
      <c r="L34" s="129"/>
      <c r="Q34" s="14"/>
    </row>
    <row r="35" spans="2:18" ht="16.5" customHeight="1">
      <c r="B35" t="s">
        <v>40</v>
      </c>
      <c r="C35"/>
      <c r="D35"/>
      <c r="E35"/>
      <c r="F35" s="176" t="e">
        <f t="shared" si="12"/>
        <v>#REF!</v>
      </c>
      <c r="G35" s="176">
        <f t="shared" si="13"/>
        <v>-2913</v>
      </c>
      <c r="H35" s="59" t="e">
        <f>+Q15</f>
        <v>#REF!</v>
      </c>
      <c r="I35" s="61" t="e">
        <f t="shared" si="14"/>
        <v>#REF!</v>
      </c>
      <c r="J35" s="61"/>
      <c r="K35" s="129">
        <f t="shared" si="15"/>
        <v>0</v>
      </c>
      <c r="L35" s="129"/>
      <c r="O35" s="29"/>
      <c r="Q35" s="21"/>
    </row>
    <row r="36" spans="2:18" ht="16.5" customHeight="1">
      <c r="B36" t="s">
        <v>39</v>
      </c>
      <c r="C36"/>
      <c r="D36"/>
      <c r="E36"/>
      <c r="F36" s="176" t="e">
        <f t="shared" si="12"/>
        <v>#REF!</v>
      </c>
      <c r="G36" s="176">
        <f t="shared" si="13"/>
        <v>-510</v>
      </c>
      <c r="H36" s="59" t="e">
        <f>+Q16</f>
        <v>#REF!</v>
      </c>
      <c r="I36" s="61" t="e">
        <f t="shared" si="14"/>
        <v>#REF!</v>
      </c>
      <c r="J36" s="61"/>
      <c r="K36" s="129">
        <f t="shared" si="15"/>
        <v>0</v>
      </c>
      <c r="L36" s="129"/>
      <c r="Q36" s="126"/>
    </row>
    <row r="37" spans="2:18" ht="16.5" customHeight="1">
      <c r="B37" t="s">
        <v>155</v>
      </c>
      <c r="C37"/>
      <c r="D37"/>
      <c r="E37"/>
      <c r="F37" s="176" t="e">
        <f t="shared" si="12"/>
        <v>#REF!</v>
      </c>
      <c r="G37" s="176">
        <f t="shared" si="13"/>
        <v>1379</v>
      </c>
      <c r="H37" s="58" t="s">
        <v>110</v>
      </c>
      <c r="I37" s="61" t="e">
        <f t="shared" si="14"/>
        <v>#REF!</v>
      </c>
      <c r="J37" s="61"/>
      <c r="K37" s="129">
        <f t="shared" si="15"/>
        <v>0</v>
      </c>
      <c r="L37" s="129"/>
      <c r="Q37" s="126"/>
    </row>
    <row r="38" spans="2:18" ht="16.5" customHeight="1">
      <c r="B38" s="111" t="s">
        <v>8</v>
      </c>
      <c r="C38" s="111"/>
      <c r="D38" s="111"/>
      <c r="E38" s="111"/>
      <c r="F38" s="177" t="e">
        <f t="shared" si="12"/>
        <v>#REF!</v>
      </c>
      <c r="G38" s="177">
        <f t="shared" si="13"/>
        <v>-6932</v>
      </c>
      <c r="H38" s="115" t="e">
        <f>+Q18</f>
        <v>#REF!</v>
      </c>
      <c r="I38" s="112" t="e">
        <f t="shared" si="14"/>
        <v>#REF!</v>
      </c>
      <c r="J38" s="112"/>
      <c r="K38" s="129">
        <f t="shared" si="15"/>
        <v>0</v>
      </c>
      <c r="L38" s="129"/>
      <c r="O38" s="30"/>
      <c r="Q38" s="127"/>
    </row>
    <row r="39" spans="2:18" ht="16.5" customHeight="1">
      <c r="B39" s="54"/>
      <c r="C39" s="54"/>
      <c r="D39" s="54"/>
      <c r="E39" s="54"/>
      <c r="F39"/>
      <c r="I39">
        <f t="shared" si="14"/>
        <v>0</v>
      </c>
      <c r="J39"/>
      <c r="K39" s="129">
        <f t="shared" si="15"/>
        <v>0</v>
      </c>
      <c r="L39" s="129"/>
    </row>
    <row r="40" spans="2:18" ht="16.5" customHeight="1">
      <c r="B40" s="55" t="s">
        <v>94</v>
      </c>
      <c r="C40" s="55"/>
      <c r="D40" s="55"/>
      <c r="E40" s="55"/>
      <c r="F40" s="178" t="e">
        <f t="shared" si="12"/>
        <v>#REF!</v>
      </c>
      <c r="G40" s="178" t="e">
        <f t="shared" si="13"/>
        <v>#REF!</v>
      </c>
      <c r="H40" s="60" t="e">
        <f>+Q20</f>
        <v>#REF!</v>
      </c>
      <c r="I40" s="110" t="e">
        <f t="shared" si="14"/>
        <v>#REF!</v>
      </c>
      <c r="J40" s="110"/>
      <c r="K40" s="129">
        <f t="shared" si="15"/>
        <v>0</v>
      </c>
      <c r="L40" s="129"/>
    </row>
    <row r="41" spans="2:18" ht="16.5" customHeight="1">
      <c r="B41" s="57" t="s">
        <v>95</v>
      </c>
      <c r="C41" s="57"/>
      <c r="D41" s="57"/>
      <c r="E41" s="57"/>
      <c r="F41" s="176" t="e">
        <f>+N21</f>
        <v>#REF!</v>
      </c>
      <c r="G41" s="176" t="e">
        <f>+O21</f>
        <v>#REF!</v>
      </c>
      <c r="H41" s="52" t="s">
        <v>110</v>
      </c>
      <c r="I41" s="58"/>
      <c r="J41" s="58"/>
      <c r="K41" s="14"/>
      <c r="L41" s="14"/>
      <c r="M41" s="58"/>
      <c r="O41" s="14"/>
    </row>
    <row r="42" spans="2:18" ht="13.5" customHeight="1">
      <c r="H42" s="14"/>
      <c r="I42" s="14"/>
      <c r="J42" s="14"/>
      <c r="K42" s="14"/>
      <c r="L42" s="14"/>
      <c r="O42" s="14"/>
    </row>
    <row r="43" spans="2:18" ht="13.5" customHeight="1">
      <c r="H43" s="14"/>
      <c r="I43" s="14"/>
      <c r="J43" s="14"/>
      <c r="K43" s="14"/>
      <c r="L43" s="14"/>
      <c r="O43" s="14"/>
    </row>
    <row r="44" spans="2:18" ht="13.5" customHeight="1">
      <c r="H44" s="23"/>
      <c r="I44" s="23"/>
      <c r="J44" s="23"/>
      <c r="K44" s="23"/>
      <c r="L44" s="23"/>
      <c r="O44" s="17"/>
      <c r="Q44" s="17"/>
      <c r="R44" s="18"/>
    </row>
    <row r="45" spans="2:18" ht="13.5" customHeight="1">
      <c r="H45" s="24"/>
      <c r="I45" s="24"/>
      <c r="J45" s="24"/>
      <c r="K45" s="24"/>
      <c r="L45" s="24"/>
      <c r="O45" s="29"/>
      <c r="Q45" s="29"/>
      <c r="R45" s="30"/>
    </row>
    <row r="46" spans="2:18" ht="13.5" customHeight="1">
      <c r="H46" s="24"/>
      <c r="I46" s="24"/>
      <c r="J46" s="24"/>
      <c r="K46" s="24"/>
      <c r="L46" s="24"/>
      <c r="O46" s="14"/>
      <c r="Q46" s="29"/>
    </row>
    <row r="47" spans="2:18" ht="13.5" customHeight="1">
      <c r="H47" s="23"/>
      <c r="I47" s="23"/>
      <c r="J47" s="23"/>
      <c r="K47" s="23"/>
      <c r="L47" s="23"/>
      <c r="O47" s="118"/>
    </row>
    <row r="48" spans="2:18" ht="13.5" customHeight="1">
      <c r="H48" s="23"/>
      <c r="I48" s="23"/>
      <c r="J48" s="23"/>
      <c r="K48" s="23"/>
      <c r="L48" s="23"/>
    </row>
    <row r="49" spans="2:17" ht="13.5" customHeight="1">
      <c r="O49" s="13"/>
    </row>
    <row r="50" spans="2:17">
      <c r="O50" s="29"/>
    </row>
    <row r="51" spans="2:17">
      <c r="O51" s="29"/>
    </row>
    <row r="52" spans="2:17">
      <c r="G52" s="23"/>
      <c r="H52" s="23"/>
      <c r="I52" s="23"/>
      <c r="J52" s="23"/>
      <c r="K52" s="23"/>
      <c r="L52" s="23"/>
      <c r="O52" s="29"/>
      <c r="Q52" s="14"/>
    </row>
    <row r="53" spans="2:17">
      <c r="G53" s="23"/>
      <c r="H53" s="23"/>
      <c r="I53" s="23"/>
      <c r="J53" s="23"/>
      <c r="K53" s="23"/>
      <c r="L53" s="23"/>
      <c r="O53" s="29"/>
    </row>
    <row r="54" spans="2:17">
      <c r="G54" s="23"/>
      <c r="H54" s="23"/>
      <c r="I54" s="23"/>
      <c r="J54" s="23"/>
      <c r="K54" s="23"/>
      <c r="L54" s="23"/>
      <c r="O54" s="29"/>
    </row>
    <row r="55" spans="2:17">
      <c r="G55" s="23"/>
      <c r="H55" s="23"/>
      <c r="I55" s="23"/>
      <c r="J55" s="23"/>
      <c r="K55" s="23"/>
      <c r="L55" s="23"/>
    </row>
    <row r="56" spans="2:17">
      <c r="G56" s="23"/>
      <c r="H56" s="23"/>
      <c r="I56" s="23"/>
      <c r="J56" s="23"/>
      <c r="K56" s="23"/>
      <c r="L56" s="23"/>
    </row>
    <row r="59" spans="2:17">
      <c r="G59" s="118"/>
      <c r="H59" s="118"/>
      <c r="I59" s="118"/>
      <c r="J59" s="118"/>
      <c r="K59" s="118"/>
    </row>
    <row r="60" spans="2:17" ht="12" customHeight="1"/>
    <row r="61" spans="2:17" ht="12" customHeight="1">
      <c r="K61" s="18"/>
      <c r="L61" s="18"/>
    </row>
    <row r="62" spans="2:17" ht="12" customHeight="1">
      <c r="B62" s="16"/>
      <c r="C62" s="16"/>
      <c r="D62" s="16"/>
      <c r="E62" s="16"/>
      <c r="F62" s="16"/>
      <c r="K62" s="124"/>
      <c r="L62" s="119"/>
      <c r="M62" s="12"/>
      <c r="N62" s="12"/>
      <c r="P62" s="12"/>
    </row>
    <row r="63" spans="2:17" ht="12" customHeight="1">
      <c r="M63" s="12"/>
      <c r="N63" s="12"/>
      <c r="P63" s="12"/>
    </row>
    <row r="64" spans="2:17" ht="12" customHeight="1">
      <c r="M64" s="12"/>
      <c r="N64" s="12"/>
      <c r="P64" s="12"/>
    </row>
    <row r="65" spans="2:20" ht="12" customHeight="1">
      <c r="M65" s="12"/>
      <c r="N65" s="12"/>
      <c r="P65" s="12"/>
    </row>
    <row r="66" spans="2:20" ht="12" customHeight="1">
      <c r="B66" s="43"/>
      <c r="C66" s="43"/>
      <c r="D66" s="43"/>
      <c r="E66" s="43"/>
      <c r="F66" s="43"/>
      <c r="M66" s="12"/>
      <c r="N66" s="12"/>
      <c r="O66" s="14"/>
      <c r="P66" s="12"/>
      <c r="Q66" s="14"/>
    </row>
    <row r="67" spans="2:20" ht="12" customHeight="1">
      <c r="B67" s="43"/>
      <c r="C67" s="43"/>
      <c r="D67" s="43"/>
      <c r="E67" s="43"/>
      <c r="F67" s="43"/>
      <c r="M67" s="12"/>
      <c r="N67" s="12"/>
      <c r="O67" s="14"/>
      <c r="P67" s="12"/>
      <c r="Q67" s="14"/>
    </row>
    <row r="68" spans="2:20" ht="12" customHeight="1">
      <c r="B68" s="43"/>
      <c r="C68" s="43"/>
      <c r="D68" s="43"/>
      <c r="E68" s="43"/>
      <c r="F68" s="43"/>
      <c r="M68" s="12"/>
      <c r="N68" s="12"/>
      <c r="P68" s="12"/>
    </row>
    <row r="69" spans="2:20" ht="12" customHeight="1">
      <c r="B69" s="28"/>
      <c r="C69" s="28"/>
      <c r="D69" s="28"/>
      <c r="E69" s="28"/>
      <c r="F69" s="28"/>
      <c r="M69" s="12"/>
      <c r="N69" s="12"/>
      <c r="O69" s="18"/>
      <c r="P69" s="12"/>
      <c r="Q69" s="18"/>
    </row>
    <row r="70" spans="2:20" ht="12" customHeight="1">
      <c r="L70" s="23"/>
      <c r="M70" s="12"/>
      <c r="N70" s="12"/>
      <c r="O70" s="14"/>
      <c r="P70" s="12"/>
      <c r="Q70" s="14"/>
      <c r="S70" s="14"/>
      <c r="T70" s="14"/>
    </row>
    <row r="71" spans="2:20" ht="12" customHeight="1">
      <c r="L71" s="23"/>
      <c r="M71" s="12"/>
      <c r="N71" s="12"/>
      <c r="O71" s="14"/>
      <c r="P71" s="12"/>
      <c r="Q71" s="29"/>
    </row>
    <row r="72" spans="2:20" ht="12" customHeight="1">
      <c r="L72" s="23"/>
      <c r="M72" s="12"/>
      <c r="N72" s="12"/>
      <c r="O72" s="14"/>
      <c r="P72" s="12"/>
      <c r="Q72" s="29"/>
    </row>
    <row r="73" spans="2:20" ht="12" customHeight="1">
      <c r="L73" s="23"/>
      <c r="M73" s="12"/>
      <c r="N73" s="12"/>
      <c r="O73" s="14"/>
      <c r="P73" s="12"/>
      <c r="Q73" s="29"/>
    </row>
    <row r="74" spans="2:20" ht="12" customHeight="1">
      <c r="L74" s="23"/>
      <c r="M74" s="12"/>
      <c r="N74" s="12"/>
      <c r="O74" s="14"/>
      <c r="P74" s="12"/>
      <c r="Q74" s="29"/>
    </row>
    <row r="75" spans="2:20" ht="12" customHeight="1">
      <c r="L75" s="23"/>
      <c r="M75" s="12"/>
      <c r="N75" s="12"/>
      <c r="O75" s="21"/>
      <c r="P75" s="12"/>
      <c r="Q75" s="30"/>
    </row>
    <row r="76" spans="2:20" ht="12" customHeight="1">
      <c r="B76" s="22"/>
      <c r="C76" s="22"/>
      <c r="D76" s="22"/>
      <c r="E76" s="22"/>
      <c r="F76" s="22"/>
      <c r="L76" s="23"/>
      <c r="M76" s="12"/>
      <c r="N76" s="12"/>
      <c r="P76" s="12"/>
    </row>
    <row r="77" spans="2:20" ht="12" customHeight="1">
      <c r="M77" s="12"/>
      <c r="N77" s="12"/>
      <c r="P77" s="12"/>
    </row>
    <row r="78" spans="2:20" ht="12" customHeight="1">
      <c r="B78" s="16"/>
      <c r="C78" s="16"/>
      <c r="D78" s="16"/>
      <c r="E78" s="16"/>
      <c r="F78" s="16"/>
      <c r="G78" s="14"/>
      <c r="H78" s="14"/>
      <c r="I78" s="14"/>
      <c r="J78" s="14"/>
      <c r="K78" s="124"/>
      <c r="L78" s="124"/>
      <c r="M78" s="12"/>
      <c r="N78" s="12"/>
      <c r="P78" s="12"/>
    </row>
    <row r="79" spans="2:20" ht="12" customHeight="1">
      <c r="B79" s="22"/>
      <c r="C79" s="22"/>
      <c r="D79" s="22"/>
      <c r="E79" s="22"/>
      <c r="F79" s="22"/>
      <c r="G79" s="23"/>
      <c r="H79" s="23"/>
      <c r="I79" s="23"/>
      <c r="J79" s="23"/>
      <c r="K79" s="23"/>
      <c r="M79" s="12"/>
      <c r="N79" s="12"/>
      <c r="P79" s="12"/>
    </row>
    <row r="80" spans="2:20" ht="12" customHeight="1">
      <c r="M80" s="12"/>
      <c r="N80" s="12"/>
      <c r="P80" s="12"/>
    </row>
    <row r="81" spans="2:16" ht="12" customHeight="1">
      <c r="G81" s="23"/>
      <c r="H81" s="23"/>
      <c r="I81" s="23"/>
      <c r="J81" s="23"/>
      <c r="K81" s="23"/>
      <c r="M81" s="12"/>
      <c r="N81" s="12"/>
      <c r="P81" s="12"/>
    </row>
    <row r="82" spans="2:16" ht="12" customHeight="1">
      <c r="G82" s="123"/>
      <c r="H82" s="123"/>
      <c r="I82" s="123"/>
      <c r="J82" s="123"/>
      <c r="K82" s="123"/>
      <c r="M82" s="12"/>
      <c r="N82" s="12"/>
      <c r="P82" s="12"/>
    </row>
    <row r="83" spans="2:16" ht="12" customHeight="1">
      <c r="G83" s="123"/>
      <c r="H83" s="123"/>
      <c r="I83" s="123"/>
      <c r="J83" s="123"/>
      <c r="K83" s="123"/>
      <c r="M83" s="12"/>
      <c r="N83" s="12"/>
      <c r="P83" s="12"/>
    </row>
    <row r="84" spans="2:16" ht="12" customHeight="1">
      <c r="B84" s="22"/>
      <c r="C84" s="22"/>
      <c r="D84" s="22"/>
      <c r="E84" s="22"/>
      <c r="F84" s="22"/>
      <c r="G84" s="23"/>
      <c r="H84" s="23"/>
      <c r="I84" s="23"/>
      <c r="J84" s="23"/>
      <c r="K84" s="23"/>
      <c r="M84" s="12"/>
      <c r="N84" s="12"/>
      <c r="P84" s="12"/>
    </row>
    <row r="85" spans="2:16" ht="12" customHeight="1">
      <c r="B85" s="20"/>
      <c r="C85" s="20"/>
      <c r="D85" s="20"/>
      <c r="E85" s="20"/>
      <c r="F85" s="20"/>
      <c r="M85" s="12"/>
      <c r="N85" s="12"/>
      <c r="P85" s="12"/>
    </row>
    <row r="86" spans="2:16" ht="12" customHeight="1">
      <c r="M86" s="12"/>
      <c r="N86" s="12"/>
      <c r="P86" s="12"/>
    </row>
    <row r="87" spans="2:16" ht="12" customHeight="1">
      <c r="B87" s="43"/>
      <c r="C87" s="43"/>
      <c r="D87" s="43"/>
      <c r="E87" s="43"/>
      <c r="F87" s="43"/>
      <c r="M87" s="12"/>
      <c r="N87" s="12"/>
      <c r="P87" s="12"/>
    </row>
    <row r="88" spans="2:16" ht="12" customHeight="1">
      <c r="M88" s="12"/>
      <c r="N88" s="12"/>
      <c r="P88" s="12"/>
    </row>
    <row r="89" spans="2:16" ht="12" customHeight="1">
      <c r="M89" s="12"/>
      <c r="N89" s="12"/>
      <c r="P89" s="12"/>
    </row>
    <row r="90" spans="2:16" ht="12" customHeight="1">
      <c r="M90" s="12"/>
      <c r="N90" s="12"/>
      <c r="P90" s="12"/>
    </row>
    <row r="91" spans="2:16" ht="12" customHeight="1">
      <c r="M91" s="12"/>
      <c r="N91" s="12"/>
      <c r="P91" s="12"/>
    </row>
    <row r="92" spans="2:16" ht="12" customHeight="1">
      <c r="M92" s="12"/>
      <c r="N92" s="12"/>
      <c r="P92" s="12"/>
    </row>
    <row r="93" spans="2:16" ht="12" customHeight="1">
      <c r="M93" s="12"/>
      <c r="N93" s="12"/>
      <c r="P93" s="12"/>
    </row>
    <row r="94" spans="2:16" ht="12" customHeight="1">
      <c r="B94" s="16"/>
      <c r="C94" s="16"/>
      <c r="D94" s="16"/>
      <c r="E94" s="16"/>
      <c r="F94" s="16"/>
      <c r="K94" s="124"/>
      <c r="L94" s="119"/>
      <c r="M94" s="12"/>
      <c r="N94" s="12"/>
      <c r="P94" s="12"/>
    </row>
    <row r="95" spans="2:16" ht="12" customHeight="1">
      <c r="M95" s="12"/>
      <c r="N95" s="12"/>
      <c r="P95" s="12"/>
    </row>
    <row r="96" spans="2:16" ht="12" customHeight="1">
      <c r="M96" s="12"/>
      <c r="N96" s="12"/>
      <c r="P96" s="12"/>
    </row>
    <row r="97" s="12" customFormat="1" ht="12" customHeight="1"/>
    <row r="98" s="12" customFormat="1" ht="12" customHeight="1"/>
    <row r="99" s="12" customFormat="1" ht="12" customHeight="1"/>
    <row r="100" s="12" customFormat="1" ht="12" customHeight="1"/>
    <row r="101" s="12" customFormat="1" ht="12" customHeight="1"/>
    <row r="102" s="12" customFormat="1" ht="12" customHeight="1"/>
    <row r="103" s="12" customFormat="1" ht="12" customHeight="1"/>
    <row r="104" s="12" customFormat="1" ht="12" customHeight="1"/>
    <row r="105" s="12" customFormat="1" ht="12" customHeight="1"/>
    <row r="106" s="12" customFormat="1" ht="12" customHeight="1"/>
    <row r="107" s="12" customFormat="1" ht="12" customHeight="1"/>
    <row r="108" s="12" customFormat="1" ht="12" customHeight="1"/>
    <row r="109" s="12" customFormat="1" ht="12" customHeight="1"/>
    <row r="110" s="12" customFormat="1" ht="12" customHeight="1"/>
    <row r="111" s="12" customFormat="1" ht="12" customHeight="1"/>
    <row r="112" s="12" customFormat="1" ht="12" customHeight="1"/>
    <row r="113" spans="2:16" ht="12" customHeight="1">
      <c r="B113" s="16"/>
      <c r="C113" s="16"/>
      <c r="D113" s="16"/>
      <c r="E113" s="16"/>
      <c r="F113" s="16"/>
      <c r="K113" s="14"/>
      <c r="L113" s="14"/>
      <c r="M113" s="12"/>
      <c r="N113" s="12"/>
      <c r="P113" s="12"/>
    </row>
    <row r="114" spans="2:16" ht="12" customHeight="1">
      <c r="M114" s="12"/>
      <c r="N114" s="12"/>
      <c r="P114" s="12"/>
    </row>
    <row r="115" spans="2:16" ht="12" customHeight="1">
      <c r="M115" s="12"/>
      <c r="N115" s="12"/>
      <c r="P115" s="12"/>
    </row>
    <row r="116" spans="2:16" ht="11.5">
      <c r="M116" s="12"/>
      <c r="N116" s="12"/>
      <c r="P116" s="12"/>
    </row>
    <row r="117" spans="2:16" ht="11.5">
      <c r="M117" s="12"/>
      <c r="N117" s="12"/>
      <c r="P117" s="12"/>
    </row>
    <row r="118" spans="2:16" ht="11.5">
      <c r="M118" s="12"/>
      <c r="N118" s="12"/>
      <c r="P118" s="12"/>
    </row>
    <row r="119" spans="2:16" ht="11.5">
      <c r="M119" s="12"/>
      <c r="N119" s="12"/>
      <c r="P119" s="12"/>
    </row>
    <row r="120" spans="2:16" ht="11.5">
      <c r="M120" s="12"/>
      <c r="N120" s="12"/>
      <c r="P120" s="12"/>
    </row>
    <row r="121" spans="2:16" ht="11.5">
      <c r="M121" s="12"/>
      <c r="N121" s="12"/>
      <c r="P121" s="12"/>
    </row>
    <row r="122" spans="2:16" ht="11.5">
      <c r="M122" s="12"/>
      <c r="N122" s="12"/>
      <c r="P122" s="12"/>
    </row>
    <row r="123" spans="2:16" ht="11.5">
      <c r="M123" s="12"/>
      <c r="N123" s="12"/>
      <c r="P123" s="12"/>
    </row>
    <row r="124" spans="2:16" ht="11.5">
      <c r="M124" s="12"/>
      <c r="N124" s="12"/>
      <c r="P124" s="12"/>
    </row>
    <row r="125" spans="2:16" ht="11.5">
      <c r="M125" s="12"/>
      <c r="N125" s="12"/>
      <c r="P125" s="12"/>
    </row>
    <row r="126" spans="2:16" ht="11.5">
      <c r="M126" s="12"/>
      <c r="N126" s="12"/>
      <c r="P126" s="12"/>
    </row>
    <row r="127" spans="2:16" ht="11.5">
      <c r="M127" s="12"/>
      <c r="N127" s="12"/>
      <c r="P127" s="12"/>
    </row>
    <row r="128" spans="2:16" ht="11.5">
      <c r="M128" s="12"/>
      <c r="N128" s="12"/>
      <c r="P128" s="12"/>
    </row>
    <row r="129" spans="2:16" ht="11.5">
      <c r="B129" s="16"/>
      <c r="C129" s="16"/>
      <c r="D129" s="16"/>
      <c r="E129" s="16"/>
      <c r="F129" s="16"/>
      <c r="K129" s="25"/>
      <c r="L129" s="25"/>
      <c r="M129" s="12"/>
      <c r="N129" s="12"/>
      <c r="P129" s="12"/>
    </row>
    <row r="130" spans="2:16" ht="11.5">
      <c r="K130" s="124"/>
      <c r="L130" s="124"/>
      <c r="M130" s="12"/>
      <c r="N130" s="12"/>
      <c r="P130" s="12"/>
    </row>
    <row r="131" spans="2:16" ht="11.5">
      <c r="M131" s="12"/>
      <c r="N131" s="12"/>
      <c r="P131" s="12"/>
    </row>
    <row r="132" spans="2:16" ht="11.5">
      <c r="M132" s="12"/>
      <c r="N132" s="12"/>
      <c r="P132" s="12"/>
    </row>
    <row r="133" spans="2:16" ht="11.5">
      <c r="M133" s="12"/>
      <c r="N133" s="12"/>
      <c r="P133" s="12"/>
    </row>
    <row r="134" spans="2:16" ht="11.5">
      <c r="M134" s="12"/>
      <c r="N134" s="12"/>
      <c r="P134" s="12"/>
    </row>
    <row r="135" spans="2:16" ht="11.5">
      <c r="M135" s="12"/>
      <c r="N135" s="12"/>
      <c r="P135" s="12"/>
    </row>
    <row r="136" spans="2:16" ht="11.5">
      <c r="M136" s="12"/>
      <c r="N136" s="12"/>
      <c r="P136" s="12"/>
    </row>
    <row r="137" spans="2:16" ht="11.5">
      <c r="M137" s="12"/>
      <c r="N137" s="12"/>
      <c r="P137" s="12"/>
    </row>
    <row r="138" spans="2:16" ht="11.5">
      <c r="M138" s="12"/>
      <c r="N138" s="12"/>
      <c r="P138" s="12"/>
    </row>
    <row r="139" spans="2:16" ht="11.5">
      <c r="M139" s="12"/>
      <c r="N139" s="12"/>
      <c r="P139" s="12"/>
    </row>
    <row r="140" spans="2:16" ht="11.5">
      <c r="M140" s="12"/>
      <c r="N140" s="12"/>
      <c r="P140" s="12"/>
    </row>
    <row r="141" spans="2:16" ht="11.5">
      <c r="M141" s="12"/>
      <c r="N141" s="12"/>
      <c r="P141" s="12"/>
    </row>
    <row r="142" spans="2:16" ht="11.5">
      <c r="M142" s="12"/>
      <c r="N142" s="12"/>
      <c r="P142" s="12"/>
    </row>
    <row r="143" spans="2:16" ht="11.5">
      <c r="M143" s="12"/>
      <c r="N143" s="12"/>
      <c r="P143" s="12"/>
    </row>
    <row r="144" spans="2:16" ht="11.5">
      <c r="M144" s="12"/>
      <c r="N144" s="12"/>
      <c r="P144" s="12"/>
    </row>
    <row r="145" spans="2:16">
      <c r="B145" s="16"/>
      <c r="C145" s="16"/>
      <c r="D145" s="16"/>
      <c r="E145" s="16"/>
      <c r="F145" s="16"/>
      <c r="K145" s="119"/>
      <c r="L145" s="119"/>
    </row>
    <row r="160" spans="2:16" ht="11.5">
      <c r="M160" s="12"/>
      <c r="N160" s="12"/>
      <c r="P160" s="12"/>
    </row>
    <row r="161" spans="2:16">
      <c r="B161" s="16"/>
      <c r="C161" s="16"/>
      <c r="D161" s="16"/>
      <c r="E161" s="16"/>
      <c r="F161" s="16"/>
    </row>
    <row r="162" spans="2:16">
      <c r="K162" s="119"/>
      <c r="L162" s="119"/>
    </row>
    <row r="176" spans="2:16" ht="11.5">
      <c r="M176" s="12"/>
      <c r="N176" s="12"/>
      <c r="P176" s="12"/>
    </row>
    <row r="177" spans="2:16">
      <c r="B177" s="16"/>
      <c r="C177" s="16"/>
      <c r="D177" s="16"/>
      <c r="E177" s="16"/>
      <c r="F177" s="16"/>
    </row>
    <row r="192" spans="2:16" ht="11.5">
      <c r="M192" s="12"/>
      <c r="N192" s="12"/>
      <c r="P192" s="12"/>
    </row>
    <row r="193" spans="2:6">
      <c r="B193" s="16"/>
      <c r="C193" s="16"/>
      <c r="D193" s="16"/>
      <c r="E193" s="16"/>
      <c r="F193" s="16"/>
    </row>
    <row r="194" spans="2:6">
      <c r="B194" s="16"/>
      <c r="C194" s="16"/>
      <c r="D194" s="16"/>
      <c r="E194" s="16"/>
      <c r="F194" s="16"/>
    </row>
    <row r="195" spans="2:6">
      <c r="B195" s="16"/>
      <c r="C195" s="16"/>
      <c r="D195" s="16"/>
      <c r="E195" s="16"/>
      <c r="F195" s="16"/>
    </row>
    <row r="196" spans="2:6">
      <c r="B196" s="16"/>
      <c r="C196" s="16"/>
      <c r="D196" s="16"/>
      <c r="E196" s="16"/>
      <c r="F196" s="16"/>
    </row>
    <row r="210" spans="2:16" ht="11.5">
      <c r="M210" s="12"/>
      <c r="N210" s="12"/>
      <c r="P210" s="12"/>
    </row>
    <row r="211" spans="2:16">
      <c r="B211" s="16"/>
      <c r="C211" s="16"/>
      <c r="D211" s="16"/>
      <c r="E211" s="16"/>
      <c r="F211" s="16"/>
    </row>
    <row r="226" spans="2:16" ht="11.5">
      <c r="M226" s="12"/>
      <c r="N226" s="12"/>
      <c r="P226" s="12"/>
    </row>
    <row r="227" spans="2:16">
      <c r="B227" s="16"/>
      <c r="C227" s="16"/>
      <c r="D227" s="16"/>
      <c r="E227" s="16"/>
      <c r="F227" s="16"/>
    </row>
    <row r="228" spans="2:16">
      <c r="K228" s="119"/>
      <c r="L228" s="124"/>
    </row>
    <row r="229" spans="2:16">
      <c r="K229" s="119"/>
      <c r="L229" s="124"/>
    </row>
    <row r="230" spans="2:16">
      <c r="B230" s="16"/>
      <c r="C230" s="16"/>
      <c r="D230" s="16"/>
      <c r="E230" s="16"/>
      <c r="F230" s="16"/>
      <c r="K230" s="128"/>
      <c r="L230" s="120"/>
    </row>
    <row r="231" spans="2:16">
      <c r="K231" s="124"/>
      <c r="L231" s="124"/>
    </row>
    <row r="232" spans="2:16">
      <c r="K232" s="124"/>
      <c r="L232" s="124"/>
    </row>
    <row r="233" spans="2:16">
      <c r="K233" s="124"/>
      <c r="L233" s="124"/>
    </row>
    <row r="246" spans="2:16" ht="11.5">
      <c r="M246" s="12"/>
      <c r="N246" s="12"/>
      <c r="P246" s="12"/>
    </row>
    <row r="247" spans="2:16">
      <c r="B247" s="16"/>
      <c r="C247" s="16"/>
      <c r="D247" s="16"/>
      <c r="E247" s="16"/>
      <c r="F247" s="16"/>
      <c r="K247" s="119"/>
      <c r="L247" s="119"/>
    </row>
    <row r="248" spans="2:16">
      <c r="B248" s="16"/>
      <c r="C248" s="16"/>
      <c r="D248" s="16"/>
      <c r="E248" s="16"/>
      <c r="F248" s="16"/>
      <c r="K248" s="29"/>
      <c r="L248" s="29"/>
    </row>
    <row r="249" spans="2:16">
      <c r="B249" s="16"/>
      <c r="C249" s="16"/>
      <c r="D249" s="16"/>
      <c r="E249" s="16"/>
      <c r="F249" s="16"/>
    </row>
    <row r="250" spans="2:16">
      <c r="B250" s="16"/>
      <c r="C250" s="16"/>
      <c r="D250" s="16"/>
      <c r="E250" s="16"/>
      <c r="F250" s="16"/>
    </row>
    <row r="264" spans="2:16" ht="11.5">
      <c r="M264" s="12"/>
      <c r="N264" s="12"/>
      <c r="P264" s="12"/>
    </row>
    <row r="265" spans="2:16">
      <c r="B265" s="16"/>
      <c r="C265" s="16"/>
      <c r="D265" s="16"/>
      <c r="E265" s="16"/>
      <c r="F265" s="16"/>
      <c r="K265" s="119"/>
      <c r="L265" s="119"/>
    </row>
    <row r="266" spans="2:16">
      <c r="B266" s="16"/>
      <c r="C266" s="16"/>
      <c r="D266" s="16"/>
      <c r="E266" s="16"/>
      <c r="F266" s="16"/>
      <c r="K266" s="119"/>
      <c r="L266" s="119"/>
    </row>
    <row r="280" spans="2:16" ht="11.5">
      <c r="M280" s="12"/>
      <c r="N280" s="12"/>
      <c r="P280" s="12"/>
    </row>
    <row r="281" spans="2:16">
      <c r="B281" s="16"/>
      <c r="C281" s="16"/>
      <c r="D281" s="16"/>
      <c r="E281" s="16"/>
      <c r="F281" s="16"/>
    </row>
    <row r="282" spans="2:16">
      <c r="B282" s="16"/>
      <c r="C282" s="16"/>
      <c r="D282" s="16"/>
      <c r="E282" s="16"/>
      <c r="F282" s="16"/>
    </row>
    <row r="296" spans="2:16" ht="11.5">
      <c r="M296" s="12"/>
      <c r="N296" s="12"/>
      <c r="P296" s="12"/>
    </row>
    <row r="297" spans="2:16">
      <c r="B297" s="16"/>
      <c r="C297" s="16"/>
      <c r="D297" s="16"/>
      <c r="E297" s="16"/>
      <c r="F297" s="16"/>
      <c r="K297" s="124"/>
      <c r="L297" s="124"/>
    </row>
    <row r="298" spans="2:16">
      <c r="B298" s="16"/>
      <c r="C298" s="16"/>
      <c r="D298" s="16"/>
      <c r="E298" s="16"/>
      <c r="F298" s="16"/>
    </row>
    <row r="300" spans="2:16">
      <c r="K300" s="29"/>
    </row>
    <row r="320" s="12" customFormat="1" ht="11.5"/>
    <row r="322" spans="11:12">
      <c r="K322" s="25"/>
      <c r="L322" s="25"/>
    </row>
    <row r="338" s="12" customFormat="1" ht="11.5"/>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13" t="s">
        <v>265</v>
      </c>
    </row>
    <row r="2" spans="2:37">
      <c r="B2" s="113"/>
      <c r="H2" s="71"/>
      <c r="V2" s="45">
        <f>V6-U6</f>
        <v>15</v>
      </c>
      <c r="W2" s="45"/>
      <c r="X2" s="45"/>
      <c r="Y2" s="45"/>
    </row>
    <row r="4" spans="2:37" ht="15.75" customHeight="1">
      <c r="B4" s="185" t="s">
        <v>47</v>
      </c>
      <c r="C4" s="273">
        <v>41547</v>
      </c>
      <c r="D4" s="274"/>
      <c r="E4" s="274"/>
      <c r="H4" s="5" t="s">
        <v>47</v>
      </c>
      <c r="I4" s="5"/>
      <c r="J4" s="5"/>
      <c r="K4" s="5"/>
      <c r="L4" s="5"/>
      <c r="M4" s="5"/>
      <c r="N4" s="5"/>
      <c r="O4" s="5"/>
      <c r="P4" s="5"/>
      <c r="Q4" s="5"/>
      <c r="R4" s="5"/>
      <c r="S4" s="5"/>
      <c r="T4" s="5"/>
      <c r="U4" s="5"/>
      <c r="V4" s="5"/>
      <c r="W4" s="5"/>
      <c r="X4" s="5"/>
      <c r="Y4" s="5"/>
      <c r="Z4" s="5"/>
      <c r="AA4" s="5"/>
      <c r="AB4" s="5"/>
      <c r="AC4" s="275" t="s">
        <v>249</v>
      </c>
      <c r="AD4" s="275"/>
      <c r="AE4" s="275"/>
      <c r="AF4" s="275"/>
      <c r="AG4" s="275"/>
      <c r="AH4" s="275"/>
      <c r="AI4" s="275"/>
      <c r="AJ4" s="275"/>
    </row>
    <row r="5" spans="2:37" ht="13.5" customHeight="1">
      <c r="B5" s="6"/>
      <c r="C5" s="2" t="s">
        <v>54</v>
      </c>
      <c r="D5" s="2" t="s">
        <v>55</v>
      </c>
      <c r="E5" s="2" t="s">
        <v>60</v>
      </c>
      <c r="H5" s="6" t="s">
        <v>49</v>
      </c>
      <c r="I5" s="72" t="s">
        <v>78</v>
      </c>
      <c r="J5" s="72" t="s">
        <v>72</v>
      </c>
      <c r="K5" s="72" t="s">
        <v>73</v>
      </c>
      <c r="L5" s="72" t="s">
        <v>83</v>
      </c>
      <c r="M5" s="72" t="s">
        <v>74</v>
      </c>
      <c r="N5" s="72" t="s">
        <v>75</v>
      </c>
      <c r="O5" s="72" t="s">
        <v>65</v>
      </c>
      <c r="P5" s="72" t="s">
        <v>66</v>
      </c>
      <c r="Q5" s="72" t="s">
        <v>67</v>
      </c>
      <c r="R5" s="72" t="s">
        <v>68</v>
      </c>
      <c r="S5" s="72" t="s">
        <v>69</v>
      </c>
      <c r="T5" s="72" t="s">
        <v>111</v>
      </c>
      <c r="U5" s="72" t="s">
        <v>125</v>
      </c>
      <c r="V5" s="72" t="s">
        <v>131</v>
      </c>
      <c r="W5" s="72" t="s">
        <v>156</v>
      </c>
      <c r="X5" s="72" t="s">
        <v>230</v>
      </c>
      <c r="Y5" s="72" t="s">
        <v>234</v>
      </c>
      <c r="Z5" s="72" t="s">
        <v>261</v>
      </c>
      <c r="AA5" s="72"/>
      <c r="AB5" s="72"/>
      <c r="AC5" s="6">
        <v>110</v>
      </c>
      <c r="AD5" s="6">
        <v>120</v>
      </c>
      <c r="AE5" s="6">
        <v>160</v>
      </c>
      <c r="AF5" s="6">
        <v>230</v>
      </c>
      <c r="AG5" s="6">
        <v>450</v>
      </c>
      <c r="AH5" s="6">
        <v>600</v>
      </c>
      <c r="AI5" s="6">
        <v>800</v>
      </c>
      <c r="AJ5" s="2" t="s">
        <v>26</v>
      </c>
    </row>
    <row r="6" spans="2:37" ht="13.5" customHeight="1">
      <c r="B6" s="1" t="s">
        <v>59</v>
      </c>
      <c r="C6" s="27">
        <v>898</v>
      </c>
      <c r="D6" s="186">
        <v>905</v>
      </c>
      <c r="E6" s="73">
        <f t="shared" ref="E6:E19" si="0">+IFERROR(C6/D6-1,"-")</f>
        <v>-7.7348066298342788E-3</v>
      </c>
      <c r="H6" s="1" t="s">
        <v>59</v>
      </c>
      <c r="I6" s="26">
        <v>910.85</v>
      </c>
      <c r="J6" s="26">
        <v>886.46</v>
      </c>
      <c r="K6" s="26">
        <v>923.41</v>
      </c>
      <c r="L6" s="26">
        <v>918.23</v>
      </c>
      <c r="M6" s="26">
        <v>903.05</v>
      </c>
      <c r="N6" s="26">
        <v>903.39</v>
      </c>
      <c r="O6" s="27">
        <v>904.42</v>
      </c>
      <c r="P6" s="27">
        <v>896.06</v>
      </c>
      <c r="Q6" s="27">
        <v>879.85770000000025</v>
      </c>
      <c r="R6" s="27">
        <v>862.38</v>
      </c>
      <c r="S6" s="27">
        <v>849.68</v>
      </c>
      <c r="T6" s="27">
        <v>876</v>
      </c>
      <c r="U6" s="27">
        <v>873</v>
      </c>
      <c r="V6" s="27">
        <v>888</v>
      </c>
      <c r="W6" s="27">
        <v>890</v>
      </c>
      <c r="X6" s="27">
        <v>930</v>
      </c>
      <c r="Y6" s="27">
        <v>908</v>
      </c>
      <c r="Z6" s="27">
        <v>895</v>
      </c>
      <c r="AA6" s="27"/>
      <c r="AB6" s="27"/>
      <c r="AC6" s="1">
        <v>5</v>
      </c>
      <c r="AD6" s="1">
        <f>3+2+1+7+2+4+2</f>
        <v>21</v>
      </c>
      <c r="AE6" s="1">
        <v>1</v>
      </c>
      <c r="AF6" s="1">
        <f>1+1+1</f>
        <v>3</v>
      </c>
      <c r="AG6" s="1">
        <v>2</v>
      </c>
      <c r="AH6" s="1">
        <f>2+4+1</f>
        <v>7</v>
      </c>
      <c r="AI6" s="1">
        <f>10+8+3+4+6+6+3+2+1+1+1+2+2+2+1+1.5+2+2+1.5+2</f>
        <v>61</v>
      </c>
      <c r="AJ6" s="6">
        <f>SUM(AC6:AI6)</f>
        <v>100</v>
      </c>
    </row>
    <row r="7" spans="2:37" ht="13.5" customHeight="1">
      <c r="B7" s="1" t="s">
        <v>56</v>
      </c>
      <c r="C7" s="27">
        <v>10</v>
      </c>
      <c r="D7" s="186">
        <v>0</v>
      </c>
      <c r="E7" s="73" t="str">
        <f t="shared" si="0"/>
        <v>-</v>
      </c>
      <c r="H7" s="1" t="s">
        <v>56</v>
      </c>
      <c r="I7" s="26"/>
      <c r="J7" s="26"/>
      <c r="K7" s="26"/>
      <c r="L7" s="26">
        <v>20</v>
      </c>
      <c r="M7" s="26">
        <v>24.47</v>
      </c>
      <c r="N7" s="26">
        <v>27.15</v>
      </c>
      <c r="O7" s="27">
        <v>15.16</v>
      </c>
      <c r="P7" s="27">
        <v>17.89</v>
      </c>
      <c r="Q7" s="27">
        <v>18.86</v>
      </c>
      <c r="R7" s="27">
        <v>7.2</v>
      </c>
      <c r="S7" s="27">
        <v>8.4</v>
      </c>
      <c r="T7" s="27">
        <v>11</v>
      </c>
      <c r="U7" s="27">
        <v>13</v>
      </c>
      <c r="V7" s="27">
        <v>11.3</v>
      </c>
      <c r="W7" s="27">
        <v>26.339999999999989</v>
      </c>
      <c r="X7" s="27">
        <v>20</v>
      </c>
      <c r="Y7" s="27">
        <v>10</v>
      </c>
      <c r="Z7" s="27">
        <v>11</v>
      </c>
      <c r="AA7" s="27"/>
      <c r="AB7" s="27"/>
      <c r="AJ7" s="1">
        <f>120-AJ6</f>
        <v>20</v>
      </c>
    </row>
    <row r="8" spans="2:37" ht="13.5" customHeight="1">
      <c r="B8" s="6" t="s">
        <v>142</v>
      </c>
      <c r="C8" s="78">
        <f>+SUBTOTAL(9,C6:C7)</f>
        <v>908</v>
      </c>
      <c r="D8" s="78">
        <f>+SUBTOTAL(9,D6:D7)</f>
        <v>905</v>
      </c>
      <c r="E8" s="79">
        <f t="shared" si="0"/>
        <v>3.3149171270718814E-3</v>
      </c>
      <c r="H8" s="6" t="s">
        <v>142</v>
      </c>
      <c r="I8" s="78">
        <f t="shared" ref="I8:N8" si="1">+SUBTOTAL(9,I6:I7)</f>
        <v>910.85</v>
      </c>
      <c r="J8" s="78">
        <f t="shared" si="1"/>
        <v>886.46</v>
      </c>
      <c r="K8" s="78">
        <f t="shared" si="1"/>
        <v>923.41</v>
      </c>
      <c r="L8" s="78">
        <f t="shared" si="1"/>
        <v>938.23</v>
      </c>
      <c r="M8" s="78">
        <f t="shared" si="1"/>
        <v>927.52</v>
      </c>
      <c r="N8" s="78">
        <f t="shared" si="1"/>
        <v>930.54</v>
      </c>
      <c r="O8" s="27">
        <f t="shared" ref="O8:W8" si="2">+SUBTOTAL(9,O6:O7)</f>
        <v>919.57999999999993</v>
      </c>
      <c r="P8" s="27">
        <f t="shared" si="2"/>
        <v>913.94999999999993</v>
      </c>
      <c r="Q8" s="27">
        <f t="shared" si="2"/>
        <v>898.71770000000026</v>
      </c>
      <c r="R8" s="27">
        <f t="shared" si="2"/>
        <v>869.58</v>
      </c>
      <c r="S8" s="27">
        <f t="shared" si="2"/>
        <v>858.07999999999993</v>
      </c>
      <c r="T8" s="27">
        <f t="shared" si="2"/>
        <v>887</v>
      </c>
      <c r="U8" s="27">
        <f t="shared" si="2"/>
        <v>886</v>
      </c>
      <c r="V8" s="27">
        <f t="shared" si="2"/>
        <v>899.3</v>
      </c>
      <c r="W8" s="27">
        <f t="shared" si="2"/>
        <v>916.34</v>
      </c>
      <c r="X8" s="27">
        <f>+SUBTOTAL(9,X6:X7)</f>
        <v>950</v>
      </c>
      <c r="Y8" s="27">
        <f>+SUBTOTAL(9,Y6:Y7)</f>
        <v>918</v>
      </c>
      <c r="Z8" s="27">
        <f>+SUBTOTAL(9,Z6:Z7)</f>
        <v>906</v>
      </c>
      <c r="AA8" s="27"/>
      <c r="AB8" s="27"/>
      <c r="AD8" s="4">
        <f>+S8/O8-1</f>
        <v>-6.6878357511037656E-2</v>
      </c>
      <c r="AE8" s="4">
        <f>+T8/S8-1</f>
        <v>3.3703151221331495E-2</v>
      </c>
      <c r="AF8" s="26">
        <f>+T8-O8</f>
        <v>-32.579999999999927</v>
      </c>
      <c r="AG8" s="26">
        <f>+T8-S8</f>
        <v>28.920000000000073</v>
      </c>
    </row>
    <row r="9" spans="2:37" ht="13.5" customHeight="1">
      <c r="C9" s="27"/>
      <c r="D9" s="27"/>
      <c r="E9" s="73"/>
      <c r="H9" s="1" t="s">
        <v>101</v>
      </c>
      <c r="I9" s="26">
        <v>74</v>
      </c>
      <c r="J9" s="26">
        <v>66</v>
      </c>
      <c r="K9" s="26">
        <v>65</v>
      </c>
      <c r="L9" s="26">
        <v>67.19</v>
      </c>
      <c r="M9" s="26">
        <v>66</v>
      </c>
      <c r="N9" s="26">
        <v>58.59</v>
      </c>
      <c r="O9" s="27">
        <v>57</v>
      </c>
      <c r="P9" s="27">
        <v>52.09</v>
      </c>
      <c r="Q9" s="27">
        <v>53</v>
      </c>
      <c r="R9" s="27">
        <v>45.59</v>
      </c>
      <c r="S9" s="27">
        <v>47</v>
      </c>
      <c r="T9" s="27">
        <v>40</v>
      </c>
      <c r="U9" s="27">
        <v>39</v>
      </c>
      <c r="V9" s="27">
        <v>29</v>
      </c>
      <c r="W9" s="27">
        <v>26</v>
      </c>
      <c r="X9" s="27">
        <v>0</v>
      </c>
      <c r="Y9" s="27">
        <v>0</v>
      </c>
      <c r="Z9" s="27">
        <v>0</v>
      </c>
      <c r="AA9" s="27"/>
      <c r="AB9" s="27"/>
    </row>
    <row r="10" spans="2:37" ht="13.5" customHeight="1">
      <c r="C10" s="27"/>
      <c r="D10" s="27"/>
      <c r="E10" s="73"/>
      <c r="H10" s="1" t="s">
        <v>50</v>
      </c>
      <c r="I10" s="26">
        <v>0</v>
      </c>
      <c r="J10" s="26">
        <v>0</v>
      </c>
      <c r="K10" s="26">
        <v>10</v>
      </c>
      <c r="L10" s="26">
        <v>10</v>
      </c>
      <c r="M10" s="26">
        <v>10</v>
      </c>
      <c r="N10" s="26">
        <v>10</v>
      </c>
      <c r="O10" s="27">
        <v>8</v>
      </c>
      <c r="P10" s="27">
        <v>8</v>
      </c>
      <c r="Q10" s="27">
        <v>8</v>
      </c>
      <c r="R10" s="27">
        <v>9</v>
      </c>
      <c r="S10" s="27">
        <v>8</v>
      </c>
      <c r="T10" s="27">
        <v>8</v>
      </c>
      <c r="U10" s="27">
        <v>9</v>
      </c>
      <c r="V10" s="27">
        <v>7.44</v>
      </c>
      <c r="W10" s="27">
        <v>7</v>
      </c>
      <c r="X10" s="27">
        <v>0</v>
      </c>
      <c r="Y10" s="27">
        <v>0</v>
      </c>
      <c r="Z10" s="27">
        <v>0</v>
      </c>
      <c r="AA10" s="27"/>
      <c r="AB10" s="27"/>
    </row>
    <row r="11" spans="2:37" ht="13.5" customHeight="1">
      <c r="B11" s="74" t="s">
        <v>97</v>
      </c>
      <c r="C11" s="75">
        <f>+SUBTOTAL(9,C6:C10)</f>
        <v>908</v>
      </c>
      <c r="D11" s="75">
        <f>+SUBTOTAL(9,D6:D10)</f>
        <v>905</v>
      </c>
      <c r="E11" s="76">
        <f>+IFERROR(C11/D11-1,"-")</f>
        <v>3.3149171270718814E-3</v>
      </c>
      <c r="H11" s="74" t="s">
        <v>97</v>
      </c>
      <c r="I11" s="26"/>
      <c r="J11" s="26"/>
      <c r="K11" s="26"/>
      <c r="L11" s="26"/>
      <c r="M11" s="26"/>
      <c r="N11" s="26"/>
      <c r="O11" s="75">
        <f>+SUBTOTAL(9,O6:O10)</f>
        <v>984.57999999999993</v>
      </c>
      <c r="P11" s="75">
        <f t="shared" ref="P11:W11" si="3">+SUBTOTAL(9,P6:P10)</f>
        <v>974.04</v>
      </c>
      <c r="Q11" s="75">
        <f t="shared" si="3"/>
        <v>959.71770000000026</v>
      </c>
      <c r="R11" s="75">
        <f t="shared" si="3"/>
        <v>924.17000000000007</v>
      </c>
      <c r="S11" s="75">
        <f t="shared" si="3"/>
        <v>913.07999999999993</v>
      </c>
      <c r="T11" s="75">
        <f t="shared" si="3"/>
        <v>935</v>
      </c>
      <c r="U11" s="75">
        <f t="shared" si="3"/>
        <v>934</v>
      </c>
      <c r="V11" s="75">
        <f t="shared" si="3"/>
        <v>935.74</v>
      </c>
      <c r="W11" s="75">
        <f t="shared" si="3"/>
        <v>949.34</v>
      </c>
      <c r="X11" s="75">
        <f>+SUBTOTAL(9,X6:X10)</f>
        <v>950</v>
      </c>
      <c r="Y11" s="75">
        <f>+SUBTOTAL(9,Y6:Y10)</f>
        <v>918</v>
      </c>
      <c r="Z11" s="75">
        <f>+SUBTOTAL(9,Z6:Z10)</f>
        <v>906</v>
      </c>
      <c r="AA11" s="78"/>
      <c r="AB11" s="78"/>
    </row>
    <row r="12" spans="2:37" ht="13.5" customHeight="1">
      <c r="B12" s="1" t="s">
        <v>46</v>
      </c>
      <c r="C12" s="27">
        <v>20</v>
      </c>
      <c r="D12" s="186">
        <v>21</v>
      </c>
      <c r="E12" s="73">
        <f t="shared" si="0"/>
        <v>-4.7619047619047672E-2</v>
      </c>
      <c r="H12" s="1" t="s">
        <v>46</v>
      </c>
      <c r="I12" s="26">
        <v>35</v>
      </c>
      <c r="J12" s="26">
        <v>17</v>
      </c>
      <c r="K12" s="26">
        <v>13</v>
      </c>
      <c r="L12" s="26">
        <v>14</v>
      </c>
      <c r="M12" s="26">
        <v>15</v>
      </c>
      <c r="N12" s="26">
        <v>15</v>
      </c>
      <c r="O12" s="27">
        <v>14</v>
      </c>
      <c r="P12" s="27">
        <v>16</v>
      </c>
      <c r="Q12" s="27">
        <v>16</v>
      </c>
      <c r="R12" s="27">
        <v>16.399999999999999</v>
      </c>
      <c r="S12" s="27">
        <v>17</v>
      </c>
      <c r="T12" s="27">
        <v>17</v>
      </c>
      <c r="U12" s="27">
        <v>15</v>
      </c>
      <c r="V12" s="27">
        <v>18</v>
      </c>
      <c r="W12" s="27">
        <v>20.2</v>
      </c>
      <c r="X12" s="27">
        <v>17</v>
      </c>
      <c r="Y12" s="27">
        <v>17</v>
      </c>
      <c r="Z12" s="1">
        <v>19</v>
      </c>
    </row>
    <row r="13" spans="2:37" ht="13.5" customHeight="1">
      <c r="B13" s="1" t="s">
        <v>44</v>
      </c>
      <c r="C13" s="27">
        <v>144</v>
      </c>
      <c r="D13" s="186">
        <v>140.5</v>
      </c>
      <c r="E13" s="73">
        <f t="shared" si="0"/>
        <v>2.4911032028469782E-2</v>
      </c>
      <c r="H13" s="1" t="s">
        <v>44</v>
      </c>
      <c r="I13" s="26">
        <v>0</v>
      </c>
      <c r="J13" s="26">
        <v>0</v>
      </c>
      <c r="K13" s="26">
        <v>0</v>
      </c>
      <c r="L13" s="26">
        <v>0</v>
      </c>
      <c r="M13" s="26">
        <v>0</v>
      </c>
      <c r="N13" s="26">
        <v>0</v>
      </c>
      <c r="O13" s="27">
        <v>137</v>
      </c>
      <c r="P13" s="27">
        <v>141</v>
      </c>
      <c r="Q13" s="27">
        <v>146</v>
      </c>
      <c r="R13" s="27">
        <v>147</v>
      </c>
      <c r="S13" s="27">
        <v>151</v>
      </c>
      <c r="T13" s="27">
        <v>152</v>
      </c>
      <c r="U13" s="27">
        <v>152</v>
      </c>
      <c r="V13" s="27">
        <v>153</v>
      </c>
      <c r="W13" s="27">
        <v>148</v>
      </c>
      <c r="X13" s="27">
        <v>149</v>
      </c>
      <c r="Y13" s="27">
        <v>147</v>
      </c>
      <c r="Z13" s="1">
        <v>147</v>
      </c>
      <c r="AK13" s="1">
        <v>1225</v>
      </c>
    </row>
    <row r="14" spans="2:37" ht="13.5" customHeight="1">
      <c r="B14" s="1" t="s">
        <v>53</v>
      </c>
      <c r="C14" s="27">
        <v>15</v>
      </c>
      <c r="D14" s="186">
        <v>14</v>
      </c>
      <c r="E14" s="73">
        <f t="shared" si="0"/>
        <v>7.1428571428571397E-2</v>
      </c>
      <c r="H14" s="1" t="s">
        <v>53</v>
      </c>
      <c r="I14" s="26">
        <v>12</v>
      </c>
      <c r="J14" s="26">
        <v>11</v>
      </c>
      <c r="K14" s="26">
        <v>14</v>
      </c>
      <c r="L14" s="26">
        <v>14</v>
      </c>
      <c r="M14" s="26">
        <v>15</v>
      </c>
      <c r="N14" s="26">
        <v>14.25</v>
      </c>
      <c r="O14" s="27">
        <v>14</v>
      </c>
      <c r="P14" s="27">
        <v>14.25</v>
      </c>
      <c r="Q14" s="27">
        <v>14</v>
      </c>
      <c r="R14" s="27">
        <v>14.85</v>
      </c>
      <c r="S14" s="27">
        <v>14</v>
      </c>
      <c r="T14" s="27">
        <v>14</v>
      </c>
      <c r="U14" s="27">
        <v>14</v>
      </c>
      <c r="V14" s="27">
        <v>14</v>
      </c>
      <c r="W14" s="27">
        <v>14</v>
      </c>
      <c r="X14" s="27">
        <v>14</v>
      </c>
      <c r="Y14" s="27">
        <v>14</v>
      </c>
      <c r="Z14" s="1">
        <v>14</v>
      </c>
      <c r="AK14" s="1">
        <v>1190</v>
      </c>
    </row>
    <row r="15" spans="2:37" ht="13.5" customHeight="1">
      <c r="B15" s="1" t="s">
        <v>42</v>
      </c>
      <c r="C15" s="27">
        <v>34</v>
      </c>
      <c r="D15" s="186">
        <v>33</v>
      </c>
      <c r="E15" s="73">
        <f t="shared" si="0"/>
        <v>3.0303030303030276E-2</v>
      </c>
      <c r="H15" s="1" t="s">
        <v>42</v>
      </c>
      <c r="I15" s="26">
        <v>0</v>
      </c>
      <c r="J15" s="26">
        <v>0</v>
      </c>
      <c r="K15" s="26">
        <v>43</v>
      </c>
      <c r="L15" s="26">
        <v>43</v>
      </c>
      <c r="M15" s="26">
        <v>43</v>
      </c>
      <c r="N15" s="26">
        <v>43</v>
      </c>
      <c r="O15" s="27">
        <v>41</v>
      </c>
      <c r="P15" s="27">
        <v>44</v>
      </c>
      <c r="Q15" s="27">
        <v>42</v>
      </c>
      <c r="R15" s="27">
        <v>42</v>
      </c>
      <c r="S15" s="27">
        <v>42</v>
      </c>
      <c r="T15" s="27">
        <v>40</v>
      </c>
      <c r="U15" s="27">
        <v>39</v>
      </c>
      <c r="V15" s="27">
        <v>37</v>
      </c>
      <c r="W15" s="27">
        <v>38</v>
      </c>
      <c r="X15" s="27">
        <v>38</v>
      </c>
      <c r="Y15" s="27">
        <v>38</v>
      </c>
      <c r="Z15" s="1">
        <v>33</v>
      </c>
      <c r="AK15" s="1">
        <f>AK14-AK13</f>
        <v>-35</v>
      </c>
    </row>
    <row r="16" spans="2:37" ht="13.5" customHeight="1">
      <c r="B16" s="77" t="s">
        <v>57</v>
      </c>
      <c r="C16" s="75">
        <f>+SUBTOTAL(9,C6:C15)</f>
        <v>1121</v>
      </c>
      <c r="D16" s="187">
        <f>+SUBTOTAL(9,D6:D15)</f>
        <v>1113.5</v>
      </c>
      <c r="E16" s="76">
        <f t="shared" si="0"/>
        <v>6.7355186349349339E-3</v>
      </c>
      <c r="H16" s="77" t="s">
        <v>57</v>
      </c>
      <c r="I16" s="75">
        <f>+SUBTOTAL(9,I6:I14)</f>
        <v>1031.8499999999999</v>
      </c>
      <c r="J16" s="75">
        <f>+SUBTOTAL(9,J6:J14)</f>
        <v>980.46</v>
      </c>
      <c r="K16" s="75">
        <f>+SUBTOTAL(9,K6:K14)</f>
        <v>1025.4099999999999</v>
      </c>
      <c r="L16" s="75">
        <f>+SUBTOTAL(9,L6:L14)</f>
        <v>1043.42</v>
      </c>
      <c r="M16" s="75">
        <f>+SUBTOTAL(9,M6:M14)</f>
        <v>1033.52</v>
      </c>
      <c r="N16" s="75">
        <f t="shared" ref="N16:W16" si="4">+SUBTOTAL(9,N6:N15)</f>
        <v>1071.3800000000001</v>
      </c>
      <c r="O16" s="75">
        <f t="shared" si="4"/>
        <v>1190.58</v>
      </c>
      <c r="P16" s="75">
        <f t="shared" si="4"/>
        <v>1189.29</v>
      </c>
      <c r="Q16" s="75">
        <f t="shared" si="4"/>
        <v>1177.7177000000001</v>
      </c>
      <c r="R16" s="75">
        <f t="shared" si="4"/>
        <v>1144.42</v>
      </c>
      <c r="S16" s="75">
        <f t="shared" si="4"/>
        <v>1137.08</v>
      </c>
      <c r="T16" s="75">
        <f t="shared" si="4"/>
        <v>1158</v>
      </c>
      <c r="U16" s="75">
        <f t="shared" si="4"/>
        <v>1154</v>
      </c>
      <c r="V16" s="75">
        <f t="shared" si="4"/>
        <v>1157.74</v>
      </c>
      <c r="W16" s="75">
        <f t="shared" si="4"/>
        <v>1169.54</v>
      </c>
      <c r="X16" s="75">
        <f>+SUBTOTAL(9,X6:X15)</f>
        <v>1168</v>
      </c>
      <c r="Y16" s="75">
        <f>+SUBTOTAL(9,Y6:Y15)</f>
        <v>1134</v>
      </c>
      <c r="Z16" s="75">
        <f>+SUBTOTAL(9,Z6:Z15)</f>
        <v>1119</v>
      </c>
      <c r="AA16" s="78"/>
      <c r="AB16" s="78"/>
      <c r="AD16" s="26">
        <f>+T16-S16</f>
        <v>20.920000000000073</v>
      </c>
    </row>
    <row r="17" spans="2:37" ht="13.5" customHeight="1">
      <c r="B17" s="1" t="s">
        <v>43</v>
      </c>
      <c r="C17" s="27">
        <f>+AD17</f>
        <v>0</v>
      </c>
      <c r="D17" s="186">
        <v>8</v>
      </c>
      <c r="E17" s="73">
        <f t="shared" si="0"/>
        <v>-1</v>
      </c>
      <c r="H17" s="1" t="s">
        <v>43</v>
      </c>
      <c r="I17" s="26">
        <v>0</v>
      </c>
      <c r="J17" s="26">
        <v>0</v>
      </c>
      <c r="K17" s="26">
        <v>5</v>
      </c>
      <c r="L17" s="26">
        <v>7</v>
      </c>
      <c r="M17" s="26">
        <v>8</v>
      </c>
      <c r="N17" s="26">
        <v>8</v>
      </c>
      <c r="O17" s="27">
        <v>8</v>
      </c>
      <c r="P17" s="27">
        <v>8</v>
      </c>
      <c r="Q17" s="27">
        <v>9</v>
      </c>
      <c r="R17" s="27">
        <v>9</v>
      </c>
      <c r="S17" s="27">
        <v>9</v>
      </c>
      <c r="T17" s="27">
        <v>8</v>
      </c>
      <c r="U17" s="27">
        <v>8</v>
      </c>
      <c r="V17" s="27">
        <v>8</v>
      </c>
      <c r="W17" s="27">
        <v>8</v>
      </c>
      <c r="X17" s="27">
        <v>8</v>
      </c>
      <c r="Y17" s="27">
        <v>8</v>
      </c>
      <c r="Z17" s="1">
        <v>8</v>
      </c>
    </row>
    <row r="18" spans="2:37" ht="13.5" customHeight="1">
      <c r="B18" s="1" t="s">
        <v>45</v>
      </c>
      <c r="C18" s="27">
        <v>5.5</v>
      </c>
      <c r="D18" s="186">
        <v>6</v>
      </c>
      <c r="E18" s="73">
        <f t="shared" si="0"/>
        <v>-8.333333333333337E-2</v>
      </c>
      <c r="H18" s="1" t="s">
        <v>45</v>
      </c>
      <c r="I18" s="26">
        <v>0</v>
      </c>
      <c r="J18" s="26">
        <v>0</v>
      </c>
      <c r="K18" s="26">
        <v>3</v>
      </c>
      <c r="L18" s="26">
        <v>3</v>
      </c>
      <c r="M18" s="26">
        <v>4</v>
      </c>
      <c r="N18" s="26">
        <v>4</v>
      </c>
      <c r="O18" s="27">
        <v>4</v>
      </c>
      <c r="P18" s="27">
        <v>5</v>
      </c>
      <c r="Q18" s="27">
        <v>5</v>
      </c>
      <c r="R18" s="27">
        <v>6</v>
      </c>
      <c r="S18" s="27">
        <v>5</v>
      </c>
      <c r="T18" s="27">
        <v>5</v>
      </c>
      <c r="U18" s="27">
        <v>6</v>
      </c>
      <c r="V18" s="27">
        <v>6</v>
      </c>
      <c r="W18" s="27">
        <v>6</v>
      </c>
      <c r="X18" s="27">
        <v>6</v>
      </c>
      <c r="Y18" s="27">
        <v>6</v>
      </c>
      <c r="Z18" s="1">
        <v>6</v>
      </c>
    </row>
    <row r="19" spans="2:37" ht="13.5" customHeight="1">
      <c r="B19" s="1" t="s">
        <v>141</v>
      </c>
      <c r="C19" s="27">
        <v>5.5</v>
      </c>
      <c r="D19" s="186">
        <v>6</v>
      </c>
      <c r="E19" s="73">
        <f t="shared" si="0"/>
        <v>-8.333333333333337E-2</v>
      </c>
      <c r="H19" s="1" t="s">
        <v>141</v>
      </c>
      <c r="I19" s="26"/>
      <c r="J19" s="26"/>
      <c r="K19" s="26"/>
      <c r="L19" s="26">
        <v>6</v>
      </c>
      <c r="M19" s="26">
        <v>5</v>
      </c>
      <c r="N19" s="26">
        <v>6</v>
      </c>
      <c r="O19" s="27">
        <v>22</v>
      </c>
      <c r="P19" s="27">
        <v>20</v>
      </c>
      <c r="Q19" s="27">
        <v>8</v>
      </c>
      <c r="R19" s="27">
        <v>8</v>
      </c>
      <c r="S19" s="27">
        <v>7</v>
      </c>
      <c r="T19" s="27">
        <v>8</v>
      </c>
      <c r="U19" s="27">
        <v>5</v>
      </c>
      <c r="V19" s="27">
        <v>5</v>
      </c>
      <c r="W19" s="27">
        <v>6</v>
      </c>
      <c r="X19" s="27">
        <v>5</v>
      </c>
      <c r="Y19" s="27">
        <v>5</v>
      </c>
      <c r="Z19" s="1">
        <v>6</v>
      </c>
      <c r="AK19" s="1">
        <f>16/32</f>
        <v>0.5</v>
      </c>
    </row>
    <row r="20" spans="2:37" ht="13.5" customHeight="1">
      <c r="B20" s="185" t="s">
        <v>48</v>
      </c>
      <c r="C20" s="188">
        <f>+SUBTOTAL(9,C6:C19)</f>
        <v>1132</v>
      </c>
      <c r="D20" s="188">
        <f>+SUBTOTAL(9,D6:D19)</f>
        <v>1133.5</v>
      </c>
      <c r="E20" s="189">
        <f>+IFERROR(C20/D20-1,"-")</f>
        <v>-1.3233348037053894E-3</v>
      </c>
      <c r="H20" s="116" t="s">
        <v>48</v>
      </c>
      <c r="I20" s="117">
        <f t="shared" ref="I20:W20" si="5">+SUBTOTAL(9,I6:I19)</f>
        <v>1031.8499999999999</v>
      </c>
      <c r="J20" s="117">
        <f t="shared" si="5"/>
        <v>980.46</v>
      </c>
      <c r="K20" s="117">
        <f t="shared" si="5"/>
        <v>1076.4099999999999</v>
      </c>
      <c r="L20" s="117">
        <f t="shared" si="5"/>
        <v>1102.42</v>
      </c>
      <c r="M20" s="117">
        <f t="shared" si="5"/>
        <v>1093.52</v>
      </c>
      <c r="N20" s="117">
        <f t="shared" si="5"/>
        <v>1089.3800000000001</v>
      </c>
      <c r="O20" s="117">
        <f t="shared" si="5"/>
        <v>1224.58</v>
      </c>
      <c r="P20" s="117">
        <f t="shared" si="5"/>
        <v>1222.29</v>
      </c>
      <c r="Q20" s="117">
        <f t="shared" si="5"/>
        <v>1199.7177000000001</v>
      </c>
      <c r="R20" s="117">
        <f t="shared" si="5"/>
        <v>1167.42</v>
      </c>
      <c r="S20" s="117">
        <f t="shared" si="5"/>
        <v>1158.08</v>
      </c>
      <c r="T20" s="117">
        <f t="shared" si="5"/>
        <v>1179</v>
      </c>
      <c r="U20" s="117">
        <f t="shared" si="5"/>
        <v>1173</v>
      </c>
      <c r="V20" s="117">
        <f t="shared" si="5"/>
        <v>1176.74</v>
      </c>
      <c r="W20" s="117">
        <f t="shared" si="5"/>
        <v>1189.54</v>
      </c>
      <c r="X20" s="117">
        <f>+SUBTOTAL(9,X6:X19)</f>
        <v>1187</v>
      </c>
      <c r="Y20" s="117">
        <f>+SUBTOTAL(9,Y6:Y19)</f>
        <v>1153</v>
      </c>
      <c r="Z20" s="117">
        <f>+SUBTOTAL(9,Z6:Z19)</f>
        <v>1139</v>
      </c>
      <c r="AA20" s="117"/>
      <c r="AB20" s="117"/>
      <c r="AD20" s="4">
        <f>+S20/O20-1</f>
        <v>-5.430433291414194E-2</v>
      </c>
      <c r="AE20" s="26">
        <f>W20-O20</f>
        <v>-35.039999999999964</v>
      </c>
      <c r="AF20" s="26">
        <f>W20-S20</f>
        <v>31.460000000000036</v>
      </c>
      <c r="AG20" s="26">
        <f>O20-S20</f>
        <v>66.5</v>
      </c>
      <c r="AI20" s="4">
        <f>16/AF20</f>
        <v>0.50858232676414439</v>
      </c>
    </row>
    <row r="21" spans="2:37" ht="13.5" customHeight="1">
      <c r="D21" s="26">
        <f>D20-C20</f>
        <v>1.5</v>
      </c>
      <c r="I21" s="26"/>
      <c r="J21" s="26"/>
      <c r="K21" s="26"/>
      <c r="L21" s="3" t="e">
        <f>+#REF!-'FTE´S old'!L20</f>
        <v>#REF!</v>
      </c>
      <c r="M21" s="3" t="e">
        <f>+#REF!-'FTE´S old'!M20</f>
        <v>#REF!</v>
      </c>
      <c r="N21" s="3" t="e">
        <f>+#REF!-'FTE´S old'!N20</f>
        <v>#REF!</v>
      </c>
      <c r="O21" s="3" t="e">
        <f>+#REF!-'FTE´S old'!O20</f>
        <v>#REF!</v>
      </c>
      <c r="P21" s="3" t="e">
        <f>+#REF!-'FTE´S old'!P20</f>
        <v>#REF!</v>
      </c>
      <c r="Q21" s="3" t="e">
        <f>+#REF!-'FTE´S old'!Q20</f>
        <v>#REF!</v>
      </c>
      <c r="R21" s="3" t="e">
        <f>+#REF!-'FTE´S old'!R20</f>
        <v>#REF!</v>
      </c>
      <c r="S21" s="3" t="e">
        <f>+#REF!-'FTE´S old'!S20</f>
        <v>#REF!</v>
      </c>
      <c r="T21" s="3" t="e">
        <f>+#REF!-'FTE´S old'!T20</f>
        <v>#REF!</v>
      </c>
      <c r="U21" s="3" t="e">
        <f>+#REF!-'FTE´S old'!U20</f>
        <v>#REF!</v>
      </c>
      <c r="V21" s="3" t="e">
        <f>+#REF!-'FTE´S old'!V20</f>
        <v>#REF!</v>
      </c>
      <c r="W21" s="3" t="e">
        <f>+#REF!-'FTE´S old'!W20</f>
        <v>#REF!</v>
      </c>
      <c r="X21" s="3" t="e">
        <f>+#REF!-'FTE´S old'!X20</f>
        <v>#REF!</v>
      </c>
      <c r="Y21" s="3"/>
    </row>
    <row r="22" spans="2:37">
      <c r="T22" s="26">
        <f>+T20-O20</f>
        <v>-45.579999999999927</v>
      </c>
      <c r="X22" s="26">
        <f>+X20-O20</f>
        <v>-37.579999999999927</v>
      </c>
      <c r="Y22" s="26"/>
    </row>
    <row r="23" spans="2:37">
      <c r="D23" s="45"/>
      <c r="O23" s="1">
        <v>2010</v>
      </c>
      <c r="P23" s="272">
        <v>2011</v>
      </c>
      <c r="Q23" s="272"/>
      <c r="R23" s="272"/>
      <c r="S23" s="272"/>
      <c r="T23" s="272">
        <v>2012</v>
      </c>
      <c r="U23" s="272"/>
      <c r="V23" s="121"/>
      <c r="W23" s="121"/>
      <c r="X23" s="121"/>
      <c r="Y23" s="121"/>
    </row>
    <row r="24" spans="2:37">
      <c r="C24" s="4"/>
      <c r="K24" s="2" t="s">
        <v>96</v>
      </c>
      <c r="L24" s="7" t="s">
        <v>62</v>
      </c>
      <c r="M24" s="7" t="s">
        <v>63</v>
      </c>
      <c r="N24" s="7" t="s">
        <v>64</v>
      </c>
      <c r="O24" s="7" t="s">
        <v>133</v>
      </c>
      <c r="P24" s="7" t="s">
        <v>134</v>
      </c>
      <c r="Q24" s="7" t="s">
        <v>135</v>
      </c>
      <c r="R24" s="7" t="s">
        <v>136</v>
      </c>
      <c r="S24" s="7" t="s">
        <v>137</v>
      </c>
      <c r="T24" s="7" t="s">
        <v>138</v>
      </c>
      <c r="U24" s="7" t="s">
        <v>139</v>
      </c>
      <c r="V24" s="7" t="s">
        <v>140</v>
      </c>
      <c r="W24" s="7" t="s">
        <v>168</v>
      </c>
      <c r="X24" s="7" t="s">
        <v>232</v>
      </c>
      <c r="Y24" s="7" t="s">
        <v>236</v>
      </c>
      <c r="Z24" s="7" t="s">
        <v>263</v>
      </c>
      <c r="AA24" s="7"/>
      <c r="AB24" s="7"/>
    </row>
    <row r="25" spans="2:37">
      <c r="H25" s="1" t="s">
        <v>97</v>
      </c>
      <c r="K25" s="2" t="s">
        <v>97</v>
      </c>
      <c r="L25" s="3">
        <f>+L8</f>
        <v>938.23</v>
      </c>
      <c r="M25" s="3">
        <f>+M8</f>
        <v>927.52</v>
      </c>
      <c r="N25" s="3">
        <f>+N8</f>
        <v>930.54</v>
      </c>
      <c r="O25" s="3">
        <f>+O11</f>
        <v>984.57999999999993</v>
      </c>
      <c r="P25" s="3">
        <f t="shared" ref="P25:X25" si="6">+P11</f>
        <v>974.04</v>
      </c>
      <c r="Q25" s="3">
        <f t="shared" si="6"/>
        <v>959.71770000000026</v>
      </c>
      <c r="R25" s="3">
        <f t="shared" si="6"/>
        <v>924.17000000000007</v>
      </c>
      <c r="S25" s="3">
        <f t="shared" si="6"/>
        <v>913.07999999999993</v>
      </c>
      <c r="T25" s="3">
        <f t="shared" si="6"/>
        <v>935</v>
      </c>
      <c r="U25" s="3">
        <f t="shared" si="6"/>
        <v>934</v>
      </c>
      <c r="V25" s="3">
        <f t="shared" si="6"/>
        <v>935.74</v>
      </c>
      <c r="W25" s="3">
        <f t="shared" si="6"/>
        <v>949.34</v>
      </c>
      <c r="X25" s="3">
        <f t="shared" si="6"/>
        <v>950</v>
      </c>
      <c r="Y25" s="3">
        <v>918</v>
      </c>
      <c r="Z25" s="45" t="e">
        <f>#REF!</f>
        <v>#REF!</v>
      </c>
      <c r="AA25" s="45"/>
      <c r="AB25" s="45"/>
    </row>
    <row r="26" spans="2:37">
      <c r="H26" s="1" t="s">
        <v>241</v>
      </c>
      <c r="K26" s="2" t="s">
        <v>98</v>
      </c>
      <c r="L26" s="3">
        <v>1058.52</v>
      </c>
      <c r="M26" s="3">
        <f>+M20</f>
        <v>1093.52</v>
      </c>
      <c r="N26" s="3">
        <f>+N20</f>
        <v>1089.3800000000001</v>
      </c>
      <c r="Q26" s="3">
        <f>Q27-Q25</f>
        <v>239.99999999999989</v>
      </c>
      <c r="R26" s="3">
        <f t="shared" ref="R26:X26" si="7">R27-R25</f>
        <v>243.25</v>
      </c>
      <c r="S26" s="3">
        <f t="shared" si="7"/>
        <v>245</v>
      </c>
      <c r="T26" s="3">
        <f t="shared" si="7"/>
        <v>244</v>
      </c>
      <c r="U26" s="3">
        <f t="shared" si="7"/>
        <v>239</v>
      </c>
      <c r="V26" s="3">
        <f t="shared" si="7"/>
        <v>241</v>
      </c>
      <c r="W26" s="3">
        <f t="shared" si="7"/>
        <v>240.19999999999993</v>
      </c>
      <c r="X26" s="3">
        <f t="shared" si="7"/>
        <v>237</v>
      </c>
      <c r="Y26" s="3">
        <v>253</v>
      </c>
      <c r="Z26" s="3" t="e">
        <f>Z27-Z25</f>
        <v>#REF!</v>
      </c>
      <c r="AA26" s="3"/>
      <c r="AB26" s="3"/>
    </row>
    <row r="27" spans="2:37" ht="15.75" customHeight="1">
      <c r="H27" s="1" t="s">
        <v>48</v>
      </c>
      <c r="N27" s="3"/>
      <c r="O27" s="3">
        <f t="shared" ref="O27:X27" si="8">+O20</f>
        <v>1224.58</v>
      </c>
      <c r="P27" s="3">
        <f t="shared" si="8"/>
        <v>1222.29</v>
      </c>
      <c r="Q27" s="3">
        <f t="shared" si="8"/>
        <v>1199.7177000000001</v>
      </c>
      <c r="R27" s="3">
        <f t="shared" si="8"/>
        <v>1167.42</v>
      </c>
      <c r="S27" s="3">
        <f t="shared" si="8"/>
        <v>1158.08</v>
      </c>
      <c r="T27" s="3">
        <f t="shared" si="8"/>
        <v>1179</v>
      </c>
      <c r="U27" s="3">
        <f t="shared" si="8"/>
        <v>1173</v>
      </c>
      <c r="V27" s="3">
        <f t="shared" si="8"/>
        <v>1176.74</v>
      </c>
      <c r="W27" s="3">
        <f t="shared" si="8"/>
        <v>1189.54</v>
      </c>
      <c r="X27" s="3">
        <f t="shared" si="8"/>
        <v>1187</v>
      </c>
      <c r="Y27" s="3" t="e">
        <f>#REF!</f>
        <v>#REF!</v>
      </c>
      <c r="Z27" s="3" t="e">
        <f>#REF!</f>
        <v>#REF!</v>
      </c>
      <c r="AA27" s="3"/>
      <c r="AB27" s="3"/>
    </row>
    <row r="28" spans="2:37" ht="13.5" customHeight="1">
      <c r="Q28" s="4">
        <f>+S25/O25-1</f>
        <v>-7.2619797273964504E-2</v>
      </c>
      <c r="R28" s="4"/>
    </row>
    <row r="29" spans="2:37" ht="13.5" customHeight="1">
      <c r="P29" s="6" t="s">
        <v>84</v>
      </c>
      <c r="Y29" s="3" t="e">
        <f>W27-Y27</f>
        <v>#REF!</v>
      </c>
    </row>
    <row r="30" spans="2:37" ht="13.5" customHeight="1">
      <c r="Y30" s="3" t="e">
        <f>Q27-Y27</f>
        <v>#REF!</v>
      </c>
    </row>
    <row r="31" spans="2:37" ht="13.5" customHeight="1">
      <c r="Y31" s="26" t="e">
        <f>D20-Y27</f>
        <v>#REF!</v>
      </c>
    </row>
    <row r="47" spans="35:37">
      <c r="AI47" s="6"/>
      <c r="AJ47" s="6"/>
      <c r="AK47" s="6"/>
    </row>
    <row r="48" spans="35:37">
      <c r="AI48" s="26"/>
      <c r="AJ48" s="26"/>
      <c r="AK48" s="26"/>
    </row>
    <row r="49" spans="32:37">
      <c r="AI49" s="26"/>
      <c r="AJ49" s="26"/>
      <c r="AK49" s="26"/>
    </row>
    <row r="51" spans="32:37">
      <c r="AG51" s="6"/>
      <c r="AH51" s="6"/>
      <c r="AI51" s="6"/>
      <c r="AJ51" s="6"/>
      <c r="AK51" s="6"/>
    </row>
    <row r="52" spans="32:37">
      <c r="AF52" s="6"/>
      <c r="AG52" s="3"/>
      <c r="AH52" s="3"/>
      <c r="AI52" s="3"/>
      <c r="AJ52" s="3"/>
      <c r="AK52" s="3"/>
    </row>
    <row r="53" spans="32:37">
      <c r="AF53" s="6"/>
      <c r="AG53" s="3"/>
      <c r="AH53" s="3"/>
      <c r="AI53" s="3"/>
      <c r="AJ53" s="3"/>
      <c r="AK53" s="3"/>
    </row>
    <row r="69" spans="18:44" ht="15" customHeight="1"/>
    <row r="70" spans="18:44">
      <c r="AL70" s="1">
        <v>2010</v>
      </c>
      <c r="AM70" s="272">
        <v>2011</v>
      </c>
      <c r="AN70" s="272"/>
      <c r="AO70" s="272"/>
      <c r="AP70" s="272"/>
      <c r="AQ70" s="272">
        <v>2012</v>
      </c>
      <c r="AR70" s="272"/>
    </row>
    <row r="71" spans="18:44">
      <c r="AI71" s="2" t="s">
        <v>112</v>
      </c>
      <c r="AJ71" s="2" t="s">
        <v>113</v>
      </c>
      <c r="AK71" s="2" t="s">
        <v>114</v>
      </c>
      <c r="AL71" s="2" t="s">
        <v>115</v>
      </c>
      <c r="AM71" s="2" t="s">
        <v>112</v>
      </c>
      <c r="AN71" s="2" t="s">
        <v>113</v>
      </c>
      <c r="AO71" s="2" t="s">
        <v>114</v>
      </c>
      <c r="AP71" s="2" t="s">
        <v>115</v>
      </c>
      <c r="AQ71" s="2" t="s">
        <v>112</v>
      </c>
      <c r="AR71" s="2" t="s">
        <v>113</v>
      </c>
    </row>
    <row r="72" spans="18:44">
      <c r="X72" s="1">
        <f>743+241+255+203+175+167+606</f>
        <v>2390</v>
      </c>
      <c r="AH72" s="6" t="s">
        <v>80</v>
      </c>
      <c r="AI72" s="3" t="e">
        <f>-#REF!</f>
        <v>#REF!</v>
      </c>
      <c r="AJ72" s="3" t="e">
        <f>-#REF!</f>
        <v>#REF!</v>
      </c>
      <c r="AK72" s="3" t="e">
        <f>-#REF!</f>
        <v>#REF!</v>
      </c>
      <c r="AL72" s="3" t="e">
        <f>-#REF!</f>
        <v>#REF!</v>
      </c>
      <c r="AM72" s="3" t="e">
        <f>-#REF!</f>
        <v>#REF!</v>
      </c>
      <c r="AN72" s="3" t="e">
        <f>-#REF!</f>
        <v>#REF!</v>
      </c>
      <c r="AO72" s="3" t="e">
        <f>-#REF!</f>
        <v>#REF!</v>
      </c>
      <c r="AP72" s="3" t="e">
        <f>-#REF!</f>
        <v>#REF!</v>
      </c>
      <c r="AQ72" s="3" t="e">
        <f>-#REF!</f>
        <v>#REF!</v>
      </c>
      <c r="AR72" s="3" t="e">
        <f>-#REF!</f>
        <v>#REF!</v>
      </c>
    </row>
    <row r="73" spans="18:44">
      <c r="AH73" s="6" t="s">
        <v>102</v>
      </c>
      <c r="AI73" s="3" t="e">
        <f>+#REF!</f>
        <v>#REF!</v>
      </c>
      <c r="AJ73" s="3" t="e">
        <f>+#REF!</f>
        <v>#REF!</v>
      </c>
      <c r="AK73" s="3" t="e">
        <f>+#REF!</f>
        <v>#REF!</v>
      </c>
      <c r="AL73" s="3" t="e">
        <f>+#REF!</f>
        <v>#REF!</v>
      </c>
      <c r="AM73" s="3" t="e">
        <f>+#REF!</f>
        <v>#REF!</v>
      </c>
      <c r="AN73" s="3" t="e">
        <f>+#REF!</f>
        <v>#REF!</v>
      </c>
      <c r="AO73" s="3" t="e">
        <f>+#REF!</f>
        <v>#REF!</v>
      </c>
      <c r="AP73" s="3" t="e">
        <f>+#REF!</f>
        <v>#REF!</v>
      </c>
      <c r="AQ73" s="3" t="e">
        <f>+#REF!</f>
        <v>#REF!</v>
      </c>
      <c r="AR73" s="3" t="e">
        <f>+#REF!</f>
        <v>#REF!</v>
      </c>
    </row>
    <row r="76" spans="18:44">
      <c r="R76" s="71"/>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8" customWidth="1"/>
    <col min="2" max="2" width="29.7265625" style="8" customWidth="1"/>
    <col min="3" max="24" width="8.7265625" style="8" customWidth="1"/>
    <col min="25" max="16384" width="9.1796875" style="8"/>
  </cols>
  <sheetData>
    <row r="2" spans="2:24" ht="15.75" customHeight="1">
      <c r="B2" s="48" t="s">
        <v>24</v>
      </c>
      <c r="C2" s="48"/>
      <c r="D2" s="48"/>
      <c r="E2" s="48"/>
      <c r="F2" s="48"/>
      <c r="G2" s="48"/>
      <c r="H2" s="48"/>
      <c r="I2" s="48"/>
      <c r="J2" s="48"/>
      <c r="K2" s="48"/>
      <c r="L2" s="48"/>
      <c r="M2" s="48"/>
      <c r="N2" s="48"/>
      <c r="O2" s="48"/>
      <c r="P2" s="48"/>
      <c r="Q2" s="48"/>
      <c r="R2" s="48"/>
      <c r="S2" s="48"/>
      <c r="T2" s="48"/>
      <c r="U2" s="48"/>
      <c r="V2" s="48"/>
      <c r="W2" s="48"/>
      <c r="X2" s="48"/>
    </row>
    <row r="3" spans="2:24" ht="13.5" customHeight="1">
      <c r="B3" s="8" t="s">
        <v>22</v>
      </c>
      <c r="C3" s="134" t="s">
        <v>78</v>
      </c>
      <c r="D3" s="134" t="s">
        <v>72</v>
      </c>
      <c r="E3" s="134" t="s">
        <v>73</v>
      </c>
      <c r="F3" s="134" t="s">
        <v>85</v>
      </c>
      <c r="G3" s="81" t="s">
        <v>62</v>
      </c>
      <c r="H3" s="81" t="s">
        <v>63</v>
      </c>
      <c r="I3" s="81" t="s">
        <v>64</v>
      </c>
      <c r="J3" s="81" t="s">
        <v>65</v>
      </c>
      <c r="K3" s="81" t="s">
        <v>66</v>
      </c>
      <c r="L3" s="81" t="s">
        <v>67</v>
      </c>
      <c r="M3" s="81" t="s">
        <v>68</v>
      </c>
      <c r="N3" s="81" t="s">
        <v>69</v>
      </c>
      <c r="O3" s="81" t="s">
        <v>111</v>
      </c>
      <c r="P3" s="81" t="s">
        <v>125</v>
      </c>
      <c r="Q3" s="81" t="s">
        <v>131</v>
      </c>
      <c r="R3" s="81" t="s">
        <v>156</v>
      </c>
      <c r="S3" s="81" t="s">
        <v>230</v>
      </c>
      <c r="T3" s="81" t="s">
        <v>234</v>
      </c>
      <c r="U3" s="81" t="s">
        <v>261</v>
      </c>
      <c r="V3" s="81" t="s">
        <v>270</v>
      </c>
      <c r="W3" s="81" t="s">
        <v>271</v>
      </c>
      <c r="X3" s="81" t="s">
        <v>272</v>
      </c>
    </row>
    <row r="4" spans="2:24" ht="13.5" customHeight="1">
      <c r="B4" s="8" t="s">
        <v>30</v>
      </c>
      <c r="D4" s="47"/>
      <c r="E4" s="9">
        <v>354780</v>
      </c>
      <c r="F4" s="9">
        <v>467604</v>
      </c>
      <c r="G4" s="9"/>
      <c r="H4" s="9">
        <v>460811</v>
      </c>
      <c r="I4" s="9">
        <v>439140</v>
      </c>
      <c r="J4" s="9">
        <v>455173</v>
      </c>
      <c r="K4" s="9">
        <v>431087</v>
      </c>
      <c r="L4" s="9">
        <v>452388</v>
      </c>
      <c r="M4" s="9">
        <v>444876</v>
      </c>
      <c r="N4" s="9">
        <v>574111</v>
      </c>
      <c r="O4" s="9">
        <v>591426</v>
      </c>
      <c r="P4" s="9">
        <v>591041</v>
      </c>
      <c r="Q4" s="9">
        <v>587117</v>
      </c>
      <c r="R4" s="9">
        <f>383768+195273</f>
        <v>579041</v>
      </c>
      <c r="S4" s="9">
        <v>571967.80439499998</v>
      </c>
      <c r="T4" s="9">
        <v>36698</v>
      </c>
      <c r="U4" s="9">
        <v>37273</v>
      </c>
      <c r="V4" s="9">
        <v>37874</v>
      </c>
      <c r="W4" s="9">
        <v>350884</v>
      </c>
      <c r="X4" s="9" t="e">
        <v>#NAME?</v>
      </c>
    </row>
    <row r="5" spans="2:24" ht="13.5" customHeight="1">
      <c r="B5" s="8" t="s">
        <v>254</v>
      </c>
      <c r="D5" s="47"/>
      <c r="E5" s="9">
        <v>-28736</v>
      </c>
      <c r="F5" s="9">
        <v>-28736</v>
      </c>
      <c r="G5" s="9"/>
      <c r="H5" s="9">
        <v>-32808</v>
      </c>
      <c r="I5" s="9">
        <v>-29512</v>
      </c>
      <c r="J5" s="9">
        <v>-41843</v>
      </c>
      <c r="K5" s="9">
        <v>-37402</v>
      </c>
      <c r="L5" s="9">
        <v>-40691</v>
      </c>
      <c r="M5" s="9">
        <v>-43242</v>
      </c>
      <c r="N5" s="9">
        <v>-56289</v>
      </c>
      <c r="O5" s="9">
        <v>-52736</v>
      </c>
      <c r="P5" s="9">
        <v>-57152</v>
      </c>
      <c r="Q5" s="9">
        <v>-59806</v>
      </c>
      <c r="R5" s="9">
        <v>-59781</v>
      </c>
      <c r="S5" s="9">
        <v>-53328</v>
      </c>
      <c r="T5" s="9">
        <v>11276</v>
      </c>
      <c r="U5" s="9">
        <v>10764</v>
      </c>
      <c r="V5" s="9">
        <v>12174</v>
      </c>
      <c r="W5" s="9">
        <v>10430</v>
      </c>
      <c r="X5" s="9" t="e">
        <v>#NAME?</v>
      </c>
    </row>
    <row r="6" spans="2:24" ht="13.5" customHeight="1">
      <c r="B6" s="8" t="s">
        <v>245</v>
      </c>
      <c r="D6" s="47"/>
      <c r="E6" s="9"/>
      <c r="F6" s="9"/>
      <c r="G6" s="9"/>
      <c r="H6" s="9"/>
      <c r="I6" s="9"/>
      <c r="J6" s="9"/>
      <c r="K6" s="9"/>
      <c r="L6" s="9"/>
      <c r="M6" s="9"/>
      <c r="N6" s="9"/>
      <c r="O6" s="9"/>
      <c r="P6" s="9"/>
      <c r="Q6" s="9"/>
      <c r="R6" s="9"/>
      <c r="S6" s="9"/>
      <c r="T6" s="9">
        <v>207313</v>
      </c>
      <c r="U6" s="9">
        <v>212014</v>
      </c>
      <c r="V6" s="9">
        <v>266168</v>
      </c>
      <c r="W6" s="9">
        <v>267791</v>
      </c>
      <c r="X6" s="9" t="e">
        <v>#NAME?</v>
      </c>
    </row>
    <row r="7" spans="2:24" ht="13.5" customHeight="1">
      <c r="B7" s="8" t="s">
        <v>25</v>
      </c>
      <c r="D7" s="47"/>
      <c r="E7" s="9"/>
      <c r="F7" s="9"/>
      <c r="G7" s="9"/>
      <c r="H7" s="9"/>
      <c r="I7" s="9"/>
      <c r="J7" s="9"/>
      <c r="K7" s="9"/>
      <c r="L7" s="9"/>
      <c r="M7" s="9"/>
      <c r="N7" s="9"/>
      <c r="O7" s="9"/>
      <c r="P7" s="9"/>
      <c r="Q7" s="9"/>
      <c r="R7" s="9"/>
      <c r="S7" s="9"/>
      <c r="T7" s="9">
        <v>545</v>
      </c>
      <c r="U7" s="9">
        <v>550</v>
      </c>
      <c r="V7" s="9">
        <v>531</v>
      </c>
      <c r="W7" s="9">
        <v>521</v>
      </c>
      <c r="X7" s="9" t="e">
        <v>#NAME?</v>
      </c>
    </row>
    <row r="8" spans="2:24" ht="13.5" customHeight="1">
      <c r="B8" s="8" t="s">
        <v>32</v>
      </c>
      <c r="D8" s="47"/>
      <c r="E8" s="9">
        <v>31673</v>
      </c>
      <c r="F8" s="9">
        <v>31673</v>
      </c>
      <c r="G8" s="9"/>
      <c r="H8" s="9">
        <v>38006</v>
      </c>
      <c r="I8" s="9">
        <v>35306</v>
      </c>
      <c r="J8" s="9">
        <v>37390</v>
      </c>
      <c r="K8" s="9">
        <v>38295</v>
      </c>
      <c r="L8" s="9">
        <v>35470</v>
      </c>
      <c r="M8" s="9">
        <v>41886</v>
      </c>
      <c r="N8" s="9">
        <v>43178</v>
      </c>
      <c r="O8" s="9">
        <v>44881</v>
      </c>
      <c r="P8" s="9">
        <v>44453</v>
      </c>
      <c r="Q8" s="9">
        <v>45173</v>
      </c>
      <c r="R8" s="9">
        <f>35706+11071</f>
        <v>46777</v>
      </c>
      <c r="S8" s="9">
        <v>46345</v>
      </c>
      <c r="T8" s="9">
        <v>354769</v>
      </c>
      <c r="U8" s="9">
        <v>357721</v>
      </c>
      <c r="V8" s="9">
        <v>348253</v>
      </c>
      <c r="W8" s="9">
        <v>350884</v>
      </c>
      <c r="X8" s="9" t="e">
        <v>#NAME?</v>
      </c>
    </row>
    <row r="9" spans="2:24" ht="13.5" customHeight="1">
      <c r="B9" s="8" t="s">
        <v>31</v>
      </c>
      <c r="D9" s="47"/>
      <c r="E9" s="9">
        <v>17</v>
      </c>
      <c r="F9" s="9">
        <v>17</v>
      </c>
      <c r="G9" s="9"/>
      <c r="H9" s="9">
        <v>12</v>
      </c>
      <c r="I9" s="9">
        <v>506</v>
      </c>
      <c r="J9" s="9">
        <v>499</v>
      </c>
      <c r="K9" s="9">
        <v>525</v>
      </c>
      <c r="L9" s="9">
        <v>548</v>
      </c>
      <c r="M9" s="9">
        <v>554</v>
      </c>
      <c r="N9" s="9">
        <v>550</v>
      </c>
      <c r="O9" s="9">
        <v>583</v>
      </c>
      <c r="P9" s="9">
        <v>544</v>
      </c>
      <c r="Q9" s="9">
        <v>549</v>
      </c>
      <c r="R9" s="9">
        <v>573</v>
      </c>
      <c r="S9" s="9">
        <v>541</v>
      </c>
      <c r="T9" s="9">
        <v>-43344</v>
      </c>
      <c r="U9" s="9">
        <v>-42118</v>
      </c>
      <c r="V9" s="9">
        <v>-29226</v>
      </c>
      <c r="W9" s="9">
        <v>-29506</v>
      </c>
      <c r="X9" s="9" t="e">
        <v>#NAME?</v>
      </c>
    </row>
    <row r="10" spans="2:24" ht="13.5" customHeight="1">
      <c r="B10" s="48" t="s">
        <v>87</v>
      </c>
      <c r="C10" s="62">
        <f t="shared" ref="C10:X10" si="0">+SUM(C4:C9)</f>
        <v>0</v>
      </c>
      <c r="D10" s="62">
        <f t="shared" si="0"/>
        <v>0</v>
      </c>
      <c r="E10" s="62">
        <f t="shared" si="0"/>
        <v>357734</v>
      </c>
      <c r="F10" s="62">
        <f t="shared" si="0"/>
        <v>470558</v>
      </c>
      <c r="G10" s="62">
        <f t="shared" si="0"/>
        <v>0</v>
      </c>
      <c r="H10" s="62">
        <f t="shared" si="0"/>
        <v>466021</v>
      </c>
      <c r="I10" s="62">
        <f t="shared" si="0"/>
        <v>445440</v>
      </c>
      <c r="J10" s="62">
        <f t="shared" si="0"/>
        <v>451219</v>
      </c>
      <c r="K10" s="62">
        <f t="shared" si="0"/>
        <v>432505</v>
      </c>
      <c r="L10" s="62">
        <f t="shared" si="0"/>
        <v>447715</v>
      </c>
      <c r="M10" s="62">
        <f t="shared" si="0"/>
        <v>444074</v>
      </c>
      <c r="N10" s="62">
        <f t="shared" si="0"/>
        <v>561550</v>
      </c>
      <c r="O10" s="62">
        <f t="shared" si="0"/>
        <v>584154</v>
      </c>
      <c r="P10" s="62">
        <f t="shared" si="0"/>
        <v>578886</v>
      </c>
      <c r="Q10" s="62">
        <f t="shared" si="0"/>
        <v>573033</v>
      </c>
      <c r="R10" s="62">
        <f t="shared" si="0"/>
        <v>566610</v>
      </c>
      <c r="S10" s="62">
        <f t="shared" si="0"/>
        <v>565525.80439499998</v>
      </c>
      <c r="T10" s="62">
        <f t="shared" si="0"/>
        <v>567257</v>
      </c>
      <c r="U10" s="62">
        <f t="shared" si="0"/>
        <v>576204</v>
      </c>
      <c r="V10" s="62">
        <f t="shared" si="0"/>
        <v>635774</v>
      </c>
      <c r="W10" s="62">
        <f t="shared" si="0"/>
        <v>951004</v>
      </c>
      <c r="X10" s="62" t="e">
        <f t="shared" si="0"/>
        <v>#NAME?</v>
      </c>
    </row>
    <row r="11" spans="2:24" ht="13.5" customHeight="1">
      <c r="C11" s="33"/>
      <c r="D11" s="33"/>
      <c r="E11" s="33"/>
      <c r="F11" s="33"/>
      <c r="G11" s="33"/>
      <c r="H11" s="47" t="e">
        <f>+H10-#REF!</f>
        <v>#REF!</v>
      </c>
      <c r="I11" s="47" t="e">
        <f>+I10-#REF!</f>
        <v>#REF!</v>
      </c>
      <c r="J11" s="47" t="e">
        <f>+J10-#REF!</f>
        <v>#REF!</v>
      </c>
      <c r="K11" s="47" t="e">
        <f>+K10-#REF!</f>
        <v>#REF!</v>
      </c>
      <c r="L11" s="47" t="e">
        <f>+L10-#REF!</f>
        <v>#REF!</v>
      </c>
      <c r="M11" s="47" t="e">
        <f>+M10-#REF!</f>
        <v>#REF!</v>
      </c>
      <c r="N11" s="47" t="e">
        <f>+N10-#REF!</f>
        <v>#REF!</v>
      </c>
    </row>
    <row r="12" spans="2:24" ht="15.75" customHeight="1">
      <c r="B12" s="48" t="s">
        <v>23</v>
      </c>
      <c r="C12" s="48"/>
      <c r="D12" s="48"/>
      <c r="E12" s="48"/>
      <c r="F12" s="48"/>
      <c r="G12" s="48"/>
      <c r="H12" s="48"/>
      <c r="I12" s="48"/>
      <c r="J12" s="48"/>
      <c r="K12" s="48"/>
      <c r="L12" s="48"/>
      <c r="M12" s="48"/>
      <c r="N12" s="48"/>
      <c r="O12" s="48"/>
      <c r="P12" s="48"/>
      <c r="Q12" s="48"/>
      <c r="R12" s="48"/>
      <c r="S12" s="48"/>
      <c r="T12" s="48"/>
      <c r="U12" s="48"/>
      <c r="V12" s="48"/>
      <c r="W12" s="48"/>
      <c r="X12" s="48"/>
    </row>
    <row r="13" spans="2:24" ht="13.5" customHeight="1">
      <c r="B13" s="8" t="s">
        <v>22</v>
      </c>
      <c r="C13" s="134" t="s">
        <v>78</v>
      </c>
      <c r="D13" s="134" t="s">
        <v>72</v>
      </c>
      <c r="E13" s="134" t="s">
        <v>73</v>
      </c>
      <c r="F13" s="134" t="s">
        <v>85</v>
      </c>
      <c r="G13" s="81" t="s">
        <v>62</v>
      </c>
      <c r="H13" s="81" t="s">
        <v>63</v>
      </c>
      <c r="I13" s="81" t="s">
        <v>64</v>
      </c>
      <c r="J13" s="81" t="s">
        <v>65</v>
      </c>
      <c r="K13" s="81" t="s">
        <v>66</v>
      </c>
      <c r="L13" s="81" t="s">
        <v>67</v>
      </c>
      <c r="M13" s="81" t="s">
        <v>68</v>
      </c>
      <c r="N13" s="81" t="s">
        <v>69</v>
      </c>
      <c r="O13" s="81" t="s">
        <v>111</v>
      </c>
      <c r="P13" s="81" t="s">
        <v>125</v>
      </c>
      <c r="Q13" s="81" t="s">
        <v>131</v>
      </c>
      <c r="R13" s="81" t="s">
        <v>156</v>
      </c>
      <c r="S13" s="81" t="s">
        <v>230</v>
      </c>
      <c r="T13" s="81" t="str">
        <f>+T3</f>
        <v>Q2 13</v>
      </c>
      <c r="U13" s="81" t="s">
        <v>261</v>
      </c>
      <c r="V13" s="81" t="s">
        <v>270</v>
      </c>
      <c r="W13" s="81" t="s">
        <v>271</v>
      </c>
      <c r="X13" s="81" t="s">
        <v>272</v>
      </c>
    </row>
    <row r="14" spans="2:24" ht="13.5" customHeight="1">
      <c r="B14" s="8" t="s">
        <v>90</v>
      </c>
      <c r="C14" s="47"/>
      <c r="D14" s="47"/>
      <c r="E14" s="47">
        <v>24037</v>
      </c>
      <c r="F14" s="47"/>
      <c r="G14" s="47"/>
      <c r="H14" s="47"/>
      <c r="I14" s="47"/>
      <c r="J14" s="47">
        <v>57707</v>
      </c>
      <c r="K14" s="47">
        <v>60169</v>
      </c>
      <c r="L14" s="47">
        <v>55419</v>
      </c>
      <c r="M14" s="47">
        <v>49001</v>
      </c>
      <c r="N14" s="47">
        <v>62175</v>
      </c>
      <c r="O14" s="47">
        <v>62065</v>
      </c>
      <c r="P14" s="47">
        <v>67951</v>
      </c>
      <c r="Q14" s="47">
        <v>74051</v>
      </c>
      <c r="R14" s="47">
        <v>84164</v>
      </c>
      <c r="S14" s="47">
        <v>72254</v>
      </c>
      <c r="T14" s="47">
        <v>72254</v>
      </c>
      <c r="U14" s="47">
        <v>78054</v>
      </c>
      <c r="V14" s="9">
        <v>70671</v>
      </c>
      <c r="W14" s="9">
        <v>60429</v>
      </c>
      <c r="X14" s="9" t="e">
        <v>#NAME?</v>
      </c>
    </row>
    <row r="15" spans="2:24" ht="13.5" customHeight="1">
      <c r="B15" s="8" t="s">
        <v>91</v>
      </c>
      <c r="C15" s="47"/>
      <c r="D15" s="47"/>
      <c r="E15" s="47">
        <v>4733</v>
      </c>
      <c r="F15" s="47"/>
      <c r="G15" s="47"/>
      <c r="H15" s="47"/>
      <c r="I15" s="47"/>
      <c r="J15" s="47">
        <v>1294</v>
      </c>
      <c r="K15" s="47">
        <v>16548</v>
      </c>
      <c r="L15" s="47">
        <v>10646</v>
      </c>
      <c r="M15" s="47">
        <v>8897</v>
      </c>
      <c r="N15" s="47">
        <v>4720</v>
      </c>
      <c r="O15" s="8">
        <v>853</v>
      </c>
      <c r="P15" s="8">
        <v>822</v>
      </c>
      <c r="Q15" s="8">
        <v>10830</v>
      </c>
      <c r="R15" s="47">
        <v>13763</v>
      </c>
      <c r="S15" s="47">
        <v>24817</v>
      </c>
      <c r="T15" s="47">
        <v>24817</v>
      </c>
      <c r="U15" s="47">
        <v>29394</v>
      </c>
      <c r="V15" s="9">
        <v>26197</v>
      </c>
      <c r="W15" s="9">
        <v>31142</v>
      </c>
      <c r="X15" s="9" t="e">
        <v>#NAME?</v>
      </c>
    </row>
    <row r="16" spans="2:24" ht="13.5" customHeight="1">
      <c r="B16" s="8" t="s">
        <v>30</v>
      </c>
      <c r="C16" s="47"/>
      <c r="D16" s="47"/>
      <c r="E16" s="47">
        <v>4074</v>
      </c>
      <c r="F16" s="47"/>
      <c r="G16" s="47"/>
      <c r="H16" s="47"/>
      <c r="I16" s="47"/>
      <c r="J16" s="47">
        <v>29</v>
      </c>
      <c r="K16" s="47">
        <v>90</v>
      </c>
      <c r="L16" s="47">
        <v>47</v>
      </c>
      <c r="M16" s="47">
        <v>17</v>
      </c>
      <c r="N16" s="47">
        <v>19</v>
      </c>
      <c r="O16" s="8">
        <v>1</v>
      </c>
      <c r="P16" s="8">
        <v>8</v>
      </c>
      <c r="Q16" s="8">
        <v>8</v>
      </c>
      <c r="R16" s="47">
        <v>0</v>
      </c>
      <c r="S16" s="47">
        <v>0</v>
      </c>
      <c r="T16" s="47">
        <v>0</v>
      </c>
      <c r="U16" s="47">
        <v>0</v>
      </c>
      <c r="V16" s="9">
        <v>0</v>
      </c>
      <c r="W16" s="9">
        <v>0</v>
      </c>
      <c r="X16" s="9"/>
    </row>
    <row r="17" spans="2:24" ht="13.5" customHeight="1">
      <c r="B17" s="8" t="s">
        <v>32</v>
      </c>
      <c r="C17" s="47"/>
      <c r="D17" s="47"/>
      <c r="E17" s="47">
        <v>6353</v>
      </c>
      <c r="F17" s="47"/>
      <c r="G17" s="47"/>
      <c r="H17" s="47"/>
      <c r="I17" s="47"/>
      <c r="J17" s="47">
        <v>10175</v>
      </c>
      <c r="K17" s="47">
        <v>9607</v>
      </c>
      <c r="L17" s="47">
        <v>6502</v>
      </c>
      <c r="M17" s="47">
        <v>3042</v>
      </c>
      <c r="N17" s="47">
        <v>2963</v>
      </c>
      <c r="O17" s="8">
        <v>3839</v>
      </c>
      <c r="P17" s="8">
        <v>3760</v>
      </c>
      <c r="Q17" s="8">
        <v>3895</v>
      </c>
      <c r="R17" s="47">
        <v>3888</v>
      </c>
      <c r="S17" s="47">
        <v>7146</v>
      </c>
      <c r="T17" s="47">
        <v>7146</v>
      </c>
      <c r="U17" s="47">
        <v>6060.0000140000002</v>
      </c>
      <c r="V17" s="9">
        <v>5439</v>
      </c>
      <c r="W17" s="9">
        <v>3587.0000009999999</v>
      </c>
      <c r="X17" s="9" t="e">
        <v>#NAME?</v>
      </c>
    </row>
    <row r="18" spans="2:24" ht="13.5" customHeight="1">
      <c r="B18" s="8" t="s">
        <v>31</v>
      </c>
      <c r="C18" s="47"/>
      <c r="D18" s="47"/>
      <c r="E18" s="47">
        <v>-727</v>
      </c>
      <c r="F18" s="47"/>
      <c r="G18" s="47"/>
      <c r="H18" s="47"/>
      <c r="I18" s="47"/>
      <c r="J18" s="47">
        <v>-1359</v>
      </c>
      <c r="K18" s="47">
        <v>-1681</v>
      </c>
      <c r="L18" s="47">
        <v>-551</v>
      </c>
      <c r="M18" s="47">
        <v>-535</v>
      </c>
      <c r="N18" s="47">
        <v>-774</v>
      </c>
      <c r="O18" s="8">
        <v>-803</v>
      </c>
      <c r="P18" s="8">
        <v>-772</v>
      </c>
      <c r="Q18" s="8">
        <v>-777</v>
      </c>
      <c r="R18" s="47">
        <v>-804</v>
      </c>
      <c r="S18" s="47">
        <v>-773</v>
      </c>
      <c r="T18" s="47">
        <v>-773</v>
      </c>
      <c r="U18" s="47">
        <v>-306</v>
      </c>
      <c r="V18" s="9">
        <v>0</v>
      </c>
      <c r="W18" s="9">
        <v>0</v>
      </c>
      <c r="X18" s="9" t="e">
        <v>#NAME?</v>
      </c>
    </row>
    <row r="19" spans="2:24" ht="13.5" customHeight="1">
      <c r="B19" s="48" t="s">
        <v>92</v>
      </c>
      <c r="C19" s="62">
        <f>+SUM(C14:C18)</f>
        <v>0</v>
      </c>
      <c r="D19" s="62">
        <f t="shared" ref="D19:X19" si="1">+SUM(D14:D18)</f>
        <v>0</v>
      </c>
      <c r="E19" s="62">
        <f t="shared" si="1"/>
        <v>38470</v>
      </c>
      <c r="F19" s="62">
        <f t="shared" si="1"/>
        <v>0</v>
      </c>
      <c r="G19" s="62">
        <f t="shared" si="1"/>
        <v>0</v>
      </c>
      <c r="H19" s="62">
        <f t="shared" si="1"/>
        <v>0</v>
      </c>
      <c r="I19" s="62">
        <f t="shared" si="1"/>
        <v>0</v>
      </c>
      <c r="J19" s="62">
        <f t="shared" si="1"/>
        <v>67846</v>
      </c>
      <c r="K19" s="62">
        <f t="shared" si="1"/>
        <v>84733</v>
      </c>
      <c r="L19" s="62">
        <f t="shared" si="1"/>
        <v>72063</v>
      </c>
      <c r="M19" s="62">
        <f t="shared" si="1"/>
        <v>60422</v>
      </c>
      <c r="N19" s="62">
        <f t="shared" si="1"/>
        <v>69103</v>
      </c>
      <c r="O19" s="62">
        <f t="shared" si="1"/>
        <v>65955</v>
      </c>
      <c r="P19" s="62">
        <f t="shared" si="1"/>
        <v>71769</v>
      </c>
      <c r="Q19" s="62">
        <f t="shared" si="1"/>
        <v>88007</v>
      </c>
      <c r="R19" s="62">
        <f t="shared" si="1"/>
        <v>101011</v>
      </c>
      <c r="S19" s="62">
        <f t="shared" si="1"/>
        <v>103444</v>
      </c>
      <c r="T19" s="62">
        <f t="shared" si="1"/>
        <v>103444</v>
      </c>
      <c r="U19" s="62">
        <f t="shared" si="1"/>
        <v>113202.000014</v>
      </c>
      <c r="V19" s="62">
        <f t="shared" si="1"/>
        <v>102307</v>
      </c>
      <c r="W19" s="62">
        <f t="shared" si="1"/>
        <v>95158.000000999993</v>
      </c>
      <c r="X19" s="62" t="e">
        <f t="shared" si="1"/>
        <v>#NAME?</v>
      </c>
    </row>
    <row r="20" spans="2:24" ht="13.5" customHeight="1">
      <c r="J20" s="47" t="e">
        <f>+J19-#REF!</f>
        <v>#REF!</v>
      </c>
      <c r="K20" s="47" t="e">
        <f>+K19-#REF!</f>
        <v>#REF!</v>
      </c>
      <c r="L20" s="47" t="e">
        <f>+L19-#REF!</f>
        <v>#REF!</v>
      </c>
      <c r="M20" s="47" t="e">
        <f>+M19-#REF!</f>
        <v>#REF!</v>
      </c>
      <c r="N20" s="47" t="e">
        <f>+N19-#REF!</f>
        <v>#REF!</v>
      </c>
    </row>
    <row r="21" spans="2:24" ht="13.5" customHeight="1">
      <c r="B21" s="135" t="s">
        <v>93</v>
      </c>
      <c r="C21" s="136">
        <f>+C10+C19</f>
        <v>0</v>
      </c>
      <c r="D21" s="136">
        <f t="shared" ref="D21:X21" si="2">+D10+D19</f>
        <v>0</v>
      </c>
      <c r="E21" s="136">
        <f t="shared" si="2"/>
        <v>396204</v>
      </c>
      <c r="F21" s="136">
        <f t="shared" si="2"/>
        <v>470558</v>
      </c>
      <c r="G21" s="136">
        <f t="shared" si="2"/>
        <v>0</v>
      </c>
      <c r="H21" s="136">
        <f t="shared" si="2"/>
        <v>466021</v>
      </c>
      <c r="I21" s="136">
        <f t="shared" si="2"/>
        <v>445440</v>
      </c>
      <c r="J21" s="136">
        <f t="shared" si="2"/>
        <v>519065</v>
      </c>
      <c r="K21" s="136">
        <f t="shared" si="2"/>
        <v>517238</v>
      </c>
      <c r="L21" s="136">
        <f t="shared" si="2"/>
        <v>519778</v>
      </c>
      <c r="M21" s="136">
        <f t="shared" si="2"/>
        <v>504496</v>
      </c>
      <c r="N21" s="136">
        <f t="shared" si="2"/>
        <v>630653</v>
      </c>
      <c r="O21" s="136">
        <f t="shared" si="2"/>
        <v>650109</v>
      </c>
      <c r="P21" s="136">
        <f t="shared" si="2"/>
        <v>650655</v>
      </c>
      <c r="Q21" s="136">
        <f t="shared" si="2"/>
        <v>661040</v>
      </c>
      <c r="R21" s="136">
        <f t="shared" si="2"/>
        <v>667621</v>
      </c>
      <c r="S21" s="136">
        <f t="shared" si="2"/>
        <v>668969.80439499998</v>
      </c>
      <c r="T21" s="136">
        <f t="shared" si="2"/>
        <v>670701</v>
      </c>
      <c r="U21" s="136">
        <f t="shared" si="2"/>
        <v>689406.00001399999</v>
      </c>
      <c r="V21" s="136">
        <f t="shared" si="2"/>
        <v>738081</v>
      </c>
      <c r="W21" s="136">
        <f t="shared" si="2"/>
        <v>1046162.000001</v>
      </c>
      <c r="X21" s="136" t="e">
        <f t="shared" si="2"/>
        <v>#NAME?</v>
      </c>
    </row>
    <row r="22" spans="2:24" ht="13.5" customHeight="1">
      <c r="C22" s="33"/>
      <c r="D22" s="33"/>
      <c r="E22" s="33"/>
      <c r="F22" s="33"/>
      <c r="G22" s="33"/>
    </row>
    <row r="23" spans="2:24" s="64" customFormat="1" ht="13.5" customHeight="1">
      <c r="C23" s="65"/>
      <c r="D23" s="65"/>
      <c r="E23" s="65"/>
      <c r="F23" s="65"/>
      <c r="G23" s="65"/>
    </row>
    <row r="24" spans="2:24" ht="13.5" customHeight="1">
      <c r="C24" s="33"/>
      <c r="D24" s="33"/>
      <c r="E24" s="33"/>
      <c r="F24" s="33"/>
      <c r="G24" s="33"/>
    </row>
    <row r="25" spans="2:24" ht="13.5" customHeight="1">
      <c r="B25" s="48" t="s">
        <v>24</v>
      </c>
      <c r="C25" s="48"/>
      <c r="D25" s="48"/>
      <c r="E25" s="48"/>
      <c r="F25" s="48"/>
      <c r="G25" s="48"/>
      <c r="H25" s="48"/>
      <c r="I25" s="48"/>
      <c r="J25" s="48"/>
      <c r="K25" s="48"/>
      <c r="L25" s="48"/>
      <c r="M25" s="48"/>
      <c r="N25" s="48"/>
      <c r="O25" s="48"/>
      <c r="P25" s="48"/>
      <c r="Q25" s="48"/>
      <c r="R25" s="48"/>
      <c r="S25" s="48"/>
      <c r="T25" s="48"/>
      <c r="U25" s="48"/>
      <c r="V25" s="48"/>
      <c r="W25" s="48"/>
      <c r="X25" s="48"/>
    </row>
    <row r="26" spans="2:24" ht="13.5" customHeight="1">
      <c r="B26" s="8" t="s">
        <v>22</v>
      </c>
      <c r="C26" s="137" t="str">
        <f>+C3</f>
        <v>22.10.08</v>
      </c>
      <c r="D26" s="137" t="str">
        <f t="shared" ref="D26:T26" si="3">+D3</f>
        <v>31.12.08</v>
      </c>
      <c r="E26" s="137" t="str">
        <f t="shared" si="3"/>
        <v>31.12.09</v>
      </c>
      <c r="F26" s="137" t="str">
        <f t="shared" si="3"/>
        <v>8.1.10</v>
      </c>
      <c r="G26" s="137" t="str">
        <f t="shared" si="3"/>
        <v>Q1 10</v>
      </c>
      <c r="H26" s="137" t="str">
        <f t="shared" si="3"/>
        <v>Q2 10</v>
      </c>
      <c r="I26" s="137" t="str">
        <f t="shared" si="3"/>
        <v>Q3 10</v>
      </c>
      <c r="J26" s="137" t="str">
        <f t="shared" si="3"/>
        <v>Q4 10</v>
      </c>
      <c r="K26" s="137" t="str">
        <f t="shared" si="3"/>
        <v>Q1 11</v>
      </c>
      <c r="L26" s="137" t="str">
        <f t="shared" si="3"/>
        <v>Q2 11</v>
      </c>
      <c r="M26" s="137" t="str">
        <f t="shared" si="3"/>
        <v>Q3 11</v>
      </c>
      <c r="N26" s="137" t="str">
        <f t="shared" si="3"/>
        <v>Q4 11</v>
      </c>
      <c r="O26" s="137" t="str">
        <f t="shared" si="3"/>
        <v>Q1 12</v>
      </c>
      <c r="P26" s="137" t="str">
        <f t="shared" si="3"/>
        <v>Q2 12</v>
      </c>
      <c r="Q26" s="137" t="str">
        <f t="shared" si="3"/>
        <v>Q3 12</v>
      </c>
      <c r="R26" s="137" t="str">
        <f t="shared" si="3"/>
        <v>Q4 12</v>
      </c>
      <c r="S26" s="81" t="s">
        <v>230</v>
      </c>
      <c r="T26" s="137" t="str">
        <f t="shared" si="3"/>
        <v>Q2 13</v>
      </c>
      <c r="U26" s="81" t="s">
        <v>261</v>
      </c>
      <c r="V26" s="81" t="s">
        <v>270</v>
      </c>
      <c r="W26" s="81" t="s">
        <v>271</v>
      </c>
      <c r="X26" s="81" t="s">
        <v>272</v>
      </c>
    </row>
    <row r="27" spans="2:24" ht="13.5" customHeight="1">
      <c r="B27" s="8" t="s">
        <v>28</v>
      </c>
      <c r="C27" s="47"/>
      <c r="D27" s="47"/>
      <c r="E27" s="47"/>
      <c r="F27" s="47"/>
      <c r="G27" s="47"/>
      <c r="H27" s="47"/>
      <c r="I27" s="47"/>
      <c r="J27" s="47"/>
      <c r="K27" s="47"/>
      <c r="L27" s="47"/>
      <c r="M27" s="47"/>
      <c r="N27" s="47">
        <v>239288.2</v>
      </c>
      <c r="O27" s="47"/>
      <c r="P27" s="47"/>
      <c r="Q27" s="47"/>
      <c r="R27" s="47">
        <v>242773</v>
      </c>
      <c r="S27" s="47">
        <v>247245</v>
      </c>
      <c r="T27" s="47">
        <v>253868</v>
      </c>
      <c r="U27" s="47">
        <v>256626</v>
      </c>
      <c r="V27" s="47">
        <v>310491</v>
      </c>
      <c r="W27" s="47">
        <v>311941</v>
      </c>
      <c r="X27" s="9" t="e">
        <v>#NAME?</v>
      </c>
    </row>
    <row r="28" spans="2:24" ht="13.5" customHeight="1">
      <c r="B28" s="8" t="s">
        <v>88</v>
      </c>
      <c r="C28" s="47"/>
      <c r="D28" s="47"/>
      <c r="E28" s="47"/>
      <c r="F28" s="47"/>
      <c r="G28" s="47"/>
      <c r="H28" s="47"/>
      <c r="I28" s="47"/>
      <c r="J28" s="47"/>
      <c r="K28" s="47"/>
      <c r="L28" s="47"/>
      <c r="M28" s="47"/>
      <c r="N28" s="47">
        <v>322261.5</v>
      </c>
      <c r="O28" s="47"/>
      <c r="P28" s="47"/>
      <c r="Q28" s="47"/>
      <c r="R28" s="47">
        <v>323837</v>
      </c>
      <c r="S28" s="47">
        <v>318280.80439499998</v>
      </c>
      <c r="T28" s="47">
        <v>313389</v>
      </c>
      <c r="U28" s="47">
        <v>319578</v>
      </c>
      <c r="V28" s="47">
        <v>325283</v>
      </c>
      <c r="W28" s="47">
        <v>330400</v>
      </c>
      <c r="X28" s="9" t="e">
        <v>#NAME?</v>
      </c>
    </row>
    <row r="29" spans="2:24" ht="13.5" customHeight="1">
      <c r="B29" s="48" t="s">
        <v>87</v>
      </c>
      <c r="C29" s="62">
        <f t="shared" ref="C29:O29" si="4">+SUM(C27:C28)</f>
        <v>0</v>
      </c>
      <c r="D29" s="62">
        <f t="shared" si="4"/>
        <v>0</v>
      </c>
      <c r="E29" s="62">
        <f t="shared" si="4"/>
        <v>0</v>
      </c>
      <c r="F29" s="62">
        <f t="shared" si="4"/>
        <v>0</v>
      </c>
      <c r="G29" s="62">
        <f t="shared" si="4"/>
        <v>0</v>
      </c>
      <c r="H29" s="62">
        <f t="shared" si="4"/>
        <v>0</v>
      </c>
      <c r="I29" s="62">
        <f t="shared" si="4"/>
        <v>0</v>
      </c>
      <c r="J29" s="62">
        <f t="shared" si="4"/>
        <v>0</v>
      </c>
      <c r="K29" s="62">
        <f t="shared" si="4"/>
        <v>0</v>
      </c>
      <c r="L29" s="62">
        <f t="shared" si="4"/>
        <v>0</v>
      </c>
      <c r="M29" s="62">
        <f t="shared" si="4"/>
        <v>0</v>
      </c>
      <c r="N29" s="62">
        <f t="shared" si="4"/>
        <v>561549.69999999995</v>
      </c>
      <c r="O29" s="62">
        <f t="shared" si="4"/>
        <v>0</v>
      </c>
      <c r="P29" s="62"/>
      <c r="Q29" s="62"/>
      <c r="R29" s="62">
        <f>+SUM(R27:R28)</f>
        <v>566610</v>
      </c>
      <c r="S29" s="62">
        <f t="shared" ref="S29:X29" si="5">+SUM(S27:S28)</f>
        <v>565525.80439499998</v>
      </c>
      <c r="T29" s="62">
        <f t="shared" si="5"/>
        <v>567257</v>
      </c>
      <c r="U29" s="62">
        <f t="shared" si="5"/>
        <v>576204</v>
      </c>
      <c r="V29" s="62">
        <f t="shared" si="5"/>
        <v>635774</v>
      </c>
      <c r="W29" s="62">
        <f t="shared" si="5"/>
        <v>642341</v>
      </c>
      <c r="X29" s="62" t="e">
        <f t="shared" si="5"/>
        <v>#NAME?</v>
      </c>
    </row>
    <row r="30" spans="2:24" ht="13.5" customHeight="1">
      <c r="C30" s="33"/>
      <c r="D30" s="33"/>
      <c r="E30" s="33"/>
      <c r="F30" s="33"/>
      <c r="G30" s="33"/>
      <c r="T30" s="47">
        <f>+T29-T10</f>
        <v>0</v>
      </c>
      <c r="U30" s="47"/>
    </row>
    <row r="31" spans="2:24" ht="13.5" customHeight="1">
      <c r="C31" s="33"/>
      <c r="D31" s="33"/>
      <c r="E31" s="33"/>
      <c r="F31" s="33"/>
      <c r="G31" s="33"/>
    </row>
    <row r="32" spans="2:24" s="64" customFormat="1" ht="13.5" customHeight="1">
      <c r="C32" s="65"/>
      <c r="D32" s="65"/>
      <c r="E32" s="65"/>
      <c r="F32" s="65"/>
      <c r="G32" s="65"/>
    </row>
    <row r="33" spans="2:24" ht="13.5" customHeight="1">
      <c r="C33" s="33"/>
      <c r="D33" s="33"/>
      <c r="E33" s="33"/>
      <c r="F33" s="33"/>
      <c r="G33" s="33"/>
    </row>
    <row r="34" spans="2:24" ht="13.5" customHeight="1">
      <c r="C34" s="33"/>
      <c r="D34" s="33"/>
      <c r="E34" s="33"/>
      <c r="F34" s="33"/>
      <c r="G34" s="33"/>
    </row>
    <row r="35" spans="2:24" ht="13.5" customHeight="1">
      <c r="B35" s="11" t="s">
        <v>27</v>
      </c>
      <c r="D35" s="134">
        <v>3</v>
      </c>
      <c r="E35" s="134" t="str">
        <f t="shared" ref="E35:O35" si="6">+E3</f>
        <v>31.12.09</v>
      </c>
      <c r="F35" s="134" t="str">
        <f t="shared" si="6"/>
        <v>8.1.10</v>
      </c>
      <c r="G35" s="134" t="str">
        <f t="shared" si="6"/>
        <v>Q1 10</v>
      </c>
      <c r="H35" s="134" t="str">
        <f t="shared" si="6"/>
        <v>Q2 10</v>
      </c>
      <c r="I35" s="134" t="str">
        <f t="shared" si="6"/>
        <v>Q3 10</v>
      </c>
      <c r="J35" s="134" t="str">
        <f t="shared" si="6"/>
        <v>Q4 10</v>
      </c>
      <c r="K35" s="134" t="str">
        <f t="shared" si="6"/>
        <v>Q1 11</v>
      </c>
      <c r="L35" s="134" t="str">
        <f t="shared" si="6"/>
        <v>Q2 11</v>
      </c>
      <c r="M35" s="134" t="str">
        <f t="shared" si="6"/>
        <v>Q3 11</v>
      </c>
      <c r="N35" s="134" t="str">
        <f t="shared" si="6"/>
        <v>Q4 11</v>
      </c>
      <c r="O35" s="134" t="str">
        <f t="shared" si="6"/>
        <v>Q1 12</v>
      </c>
      <c r="P35" s="81" t="s">
        <v>125</v>
      </c>
      <c r="Q35" s="81" t="s">
        <v>131</v>
      </c>
      <c r="R35" s="134" t="str">
        <f>+R3</f>
        <v>Q4 12</v>
      </c>
      <c r="S35" s="81" t="s">
        <v>230</v>
      </c>
      <c r="T35" s="134" t="str">
        <f>+T3</f>
        <v>Q2 13</v>
      </c>
      <c r="U35" s="81" t="s">
        <v>261</v>
      </c>
      <c r="V35" s="81" t="s">
        <v>270</v>
      </c>
      <c r="W35" s="81" t="s">
        <v>271</v>
      </c>
      <c r="X35" s="81" t="s">
        <v>272</v>
      </c>
    </row>
    <row r="36" spans="2:24" ht="13.5" customHeight="1">
      <c r="B36" s="8" t="s">
        <v>28</v>
      </c>
      <c r="D36" s="33"/>
      <c r="E36" s="33">
        <v>0.155</v>
      </c>
      <c r="F36" s="33"/>
      <c r="G36" s="33"/>
      <c r="H36" s="33"/>
      <c r="I36" s="33"/>
      <c r="J36" s="33">
        <v>0.24678452411988056</v>
      </c>
      <c r="K36" s="33"/>
      <c r="L36" s="63">
        <v>0.24199999999999999</v>
      </c>
      <c r="M36" s="33">
        <v>0.24411546002861803</v>
      </c>
      <c r="N36" s="63">
        <v>0.39689876047489187</v>
      </c>
      <c r="O36" s="63">
        <v>0.38973996213779494</v>
      </c>
      <c r="P36" s="63">
        <v>0.39115419261500256</v>
      </c>
      <c r="Q36" s="63">
        <v>0.41399999999999998</v>
      </c>
      <c r="R36" s="63">
        <v>0.42799999999999999</v>
      </c>
      <c r="S36" s="63">
        <v>0.438</v>
      </c>
      <c r="T36" s="63">
        <v>0.44500000000000001</v>
      </c>
      <c r="U36" s="63">
        <v>0.44500000000000001</v>
      </c>
      <c r="V36" s="191">
        <v>0.48799999999999999</v>
      </c>
      <c r="W36" s="191">
        <v>0.48599999999999999</v>
      </c>
      <c r="X36" s="63" t="e">
        <v>#NAME?</v>
      </c>
    </row>
    <row r="37" spans="2:24" ht="13.5" customHeight="1">
      <c r="B37" s="8" t="s">
        <v>203</v>
      </c>
      <c r="D37" s="33"/>
      <c r="E37" s="33">
        <v>0.14799999999999999</v>
      </c>
      <c r="F37" s="33"/>
      <c r="G37" s="33"/>
      <c r="H37" s="33"/>
      <c r="I37" s="33"/>
      <c r="J37" s="33">
        <v>0.13018125617688139</v>
      </c>
      <c r="K37" s="33"/>
      <c r="L37" s="63">
        <v>0.11799999999999999</v>
      </c>
      <c r="M37" s="33">
        <v>0.1195573894778158</v>
      </c>
      <c r="N37" s="63">
        <v>9.8111190506833021E-2</v>
      </c>
      <c r="O37" s="63">
        <v>9.022724419669978E-2</v>
      </c>
      <c r="P37" s="63">
        <v>0.1022078926220349</v>
      </c>
      <c r="Q37" s="63">
        <v>0.106</v>
      </c>
      <c r="R37" s="63">
        <v>0.121</v>
      </c>
      <c r="S37" s="63">
        <v>0.126</v>
      </c>
      <c r="T37" s="63">
        <v>0.13100000000000001</v>
      </c>
      <c r="U37" s="63">
        <v>0.13500000000000001</v>
      </c>
      <c r="V37" s="191">
        <v>0.13100000000000001</v>
      </c>
      <c r="W37" s="191">
        <v>0.13600000000000001</v>
      </c>
      <c r="X37" s="63" t="e">
        <v>#NAME?</v>
      </c>
    </row>
    <row r="38" spans="2:24" ht="13.5" customHeight="1">
      <c r="B38" s="8" t="s">
        <v>200</v>
      </c>
      <c r="D38" s="33"/>
      <c r="E38" s="33">
        <v>0.161</v>
      </c>
      <c r="F38" s="33"/>
      <c r="G38" s="33"/>
      <c r="H38" s="33"/>
      <c r="I38" s="33"/>
      <c r="J38" s="33">
        <v>0.1406940250176035</v>
      </c>
      <c r="K38" s="33"/>
      <c r="L38" s="63">
        <v>0.17199999999999999</v>
      </c>
      <c r="M38" s="33">
        <v>0.16885781011420023</v>
      </c>
      <c r="N38" s="63">
        <v>0.10839768306376503</v>
      </c>
      <c r="O38" s="63">
        <v>0.11291720031540946</v>
      </c>
      <c r="P38" s="63">
        <v>0.11839190319450689</v>
      </c>
      <c r="Q38" s="63">
        <v>0.105</v>
      </c>
      <c r="R38" s="63">
        <v>0.12</v>
      </c>
      <c r="S38" s="63">
        <v>0.11</v>
      </c>
      <c r="T38" s="63">
        <v>0.112</v>
      </c>
      <c r="U38" s="63">
        <v>0.104</v>
      </c>
      <c r="V38" s="191">
        <v>9.6000000000000002E-2</v>
      </c>
      <c r="W38" s="191">
        <v>9.7000000000000003E-2</v>
      </c>
      <c r="X38" s="63" t="e">
        <v>#NAME?</v>
      </c>
    </row>
    <row r="39" spans="2:24" ht="13.5" customHeight="1">
      <c r="B39" s="8" t="s">
        <v>201</v>
      </c>
      <c r="D39" s="33"/>
      <c r="E39" s="33">
        <v>0.17399999999999999</v>
      </c>
      <c r="F39" s="33"/>
      <c r="G39" s="33"/>
      <c r="H39" s="33"/>
      <c r="I39" s="33"/>
      <c r="J39" s="33">
        <v>0.13259313434724437</v>
      </c>
      <c r="K39" s="33"/>
      <c r="L39" s="63">
        <v>9.6999999999999989E-2</v>
      </c>
      <c r="M39" s="33">
        <v>9.3627505676217762E-2</v>
      </c>
      <c r="N39" s="63">
        <v>7.7464149686807759E-2</v>
      </c>
      <c r="O39" s="63">
        <v>8.6315845599579513E-2</v>
      </c>
      <c r="P39" s="63">
        <v>9.1727664828757896E-2</v>
      </c>
      <c r="Q39" s="63">
        <v>7.9000000000000001E-2</v>
      </c>
      <c r="R39" s="63">
        <v>5.0999999999999997E-2</v>
      </c>
      <c r="S39" s="63">
        <v>0.05</v>
      </c>
      <c r="T39" s="63">
        <v>4.3999999999999997E-2</v>
      </c>
      <c r="U39" s="63">
        <v>4.2999999999999997E-2</v>
      </c>
      <c r="V39" s="191">
        <v>3.7999999999999999E-2</v>
      </c>
      <c r="W39" s="191">
        <v>3.5999999999999997E-2</v>
      </c>
      <c r="X39" s="63" t="e">
        <v>#NAME?</v>
      </c>
    </row>
    <row r="40" spans="2:24" ht="13.5" customHeight="1">
      <c r="B40" s="8" t="s">
        <v>103</v>
      </c>
      <c r="D40" s="33"/>
      <c r="E40" s="33">
        <v>0.11799999999999999</v>
      </c>
      <c r="F40" s="33"/>
      <c r="G40" s="33"/>
      <c r="H40" s="33"/>
      <c r="I40" s="33"/>
      <c r="J40" s="33">
        <v>9.9091309038905617E-2</v>
      </c>
      <c r="K40" s="33"/>
      <c r="L40" s="63">
        <v>0.11600000000000001</v>
      </c>
      <c r="M40" s="33">
        <v>0.11711896773608901</v>
      </c>
      <c r="N40" s="63">
        <v>0.11742916638415185</v>
      </c>
      <c r="O40" s="63">
        <v>0.1279628823960498</v>
      </c>
      <c r="P40" s="63">
        <v>0.11069577902283166</v>
      </c>
      <c r="Q40" s="63">
        <v>0.111</v>
      </c>
      <c r="R40" s="63">
        <v>9.8000000000000004E-2</v>
      </c>
      <c r="S40" s="63">
        <v>0.09</v>
      </c>
      <c r="T40" s="138">
        <v>0.09</v>
      </c>
      <c r="U40" s="138">
        <v>8.2000000000000003E-2</v>
      </c>
      <c r="V40" s="191">
        <v>8.6999999999999994E-2</v>
      </c>
      <c r="W40" s="191">
        <v>8.1000000000000003E-2</v>
      </c>
      <c r="X40" s="63" t="e">
        <v>#NAME?</v>
      </c>
    </row>
    <row r="41" spans="2:24" ht="13.5" customHeight="1">
      <c r="B41" s="8" t="s">
        <v>86</v>
      </c>
      <c r="D41" s="33"/>
      <c r="E41" s="33">
        <v>4.2999999999999997E-2</v>
      </c>
      <c r="F41" s="33"/>
      <c r="G41" s="33"/>
      <c r="H41" s="33"/>
      <c r="I41" s="33"/>
      <c r="J41" s="33">
        <v>0.11131767040804677</v>
      </c>
      <c r="K41" s="33"/>
      <c r="L41" s="63">
        <v>0.13200000000000001</v>
      </c>
      <c r="M41" s="33">
        <v>0.13270652614481465</v>
      </c>
      <c r="N41" s="63">
        <v>0.11086477481987377</v>
      </c>
      <c r="O41" s="63">
        <v>0.10548340751789811</v>
      </c>
      <c r="P41" s="63">
        <v>9.5997630754638519E-2</v>
      </c>
      <c r="Q41" s="63">
        <v>9.2999999999999999E-2</v>
      </c>
      <c r="R41" s="63">
        <v>4.3999999999999997E-2</v>
      </c>
      <c r="S41" s="63">
        <v>4.5999999999999999E-2</v>
      </c>
      <c r="T41" s="63">
        <v>4.4999999999999998E-2</v>
      </c>
      <c r="U41" s="63">
        <v>5.8999999999999997E-2</v>
      </c>
      <c r="V41" s="191">
        <v>4.2999999999999997E-2</v>
      </c>
      <c r="W41" s="191">
        <v>4.9000000000000002E-2</v>
      </c>
      <c r="X41" s="63" t="e">
        <v>#NAME?</v>
      </c>
    </row>
    <row r="42" spans="2:24" ht="13.5" customHeight="1">
      <c r="B42" s="8" t="s">
        <v>206</v>
      </c>
      <c r="D42" s="33"/>
      <c r="E42" s="33">
        <v>0.122</v>
      </c>
      <c r="F42" s="33"/>
      <c r="G42" s="33"/>
      <c r="H42" s="33"/>
      <c r="I42" s="33"/>
      <c r="J42" s="33">
        <v>8.3196182501206903E-2</v>
      </c>
      <c r="K42" s="33"/>
      <c r="L42" s="63">
        <v>7.0999999999999994E-2</v>
      </c>
      <c r="M42" s="33">
        <v>7.1292755165555707E-2</v>
      </c>
      <c r="N42" s="63">
        <v>5.2755726851917352E-2</v>
      </c>
      <c r="O42" s="63">
        <v>5.0600871365502224E-2</v>
      </c>
      <c r="P42" s="63">
        <v>5.2251042794349487E-2</v>
      </c>
      <c r="Q42" s="63">
        <v>5.1999999999999998E-2</v>
      </c>
      <c r="R42" s="63">
        <v>0.04</v>
      </c>
      <c r="S42" s="63">
        <v>0.04</v>
      </c>
      <c r="T42" s="63">
        <v>0.04</v>
      </c>
      <c r="U42" s="63">
        <v>0.04</v>
      </c>
      <c r="V42" s="191">
        <v>3.4999999999999996E-2</v>
      </c>
      <c r="W42" s="191">
        <v>3.6999999999999998E-2</v>
      </c>
      <c r="X42" s="63" t="e">
        <v>#NAME?</v>
      </c>
    </row>
    <row r="43" spans="2:24" ht="13.5" customHeight="1">
      <c r="B43" s="8" t="s">
        <v>172</v>
      </c>
      <c r="D43" s="33"/>
      <c r="E43" s="33">
        <v>5.2999999999999999E-2</v>
      </c>
      <c r="F43" s="33"/>
      <c r="G43" s="33"/>
      <c r="H43" s="33"/>
      <c r="I43" s="33"/>
      <c r="J43" s="33">
        <v>2.4149466201979105E-2</v>
      </c>
      <c r="K43" s="33"/>
      <c r="L43" s="63">
        <v>2.1999999999999999E-2</v>
      </c>
      <c r="M43" s="33">
        <v>2.1360533107240176E-2</v>
      </c>
      <c r="N43" s="63">
        <v>1.4575015993124888E-2</v>
      </c>
      <c r="O43" s="63">
        <v>1.3444265572403078E-2</v>
      </c>
      <c r="P43" s="63">
        <v>1.2534448758000642E-2</v>
      </c>
      <c r="Q43" s="63">
        <v>1.2E-2</v>
      </c>
      <c r="R43" s="63">
        <v>3.7999999999999999E-2</v>
      </c>
      <c r="S43" s="63">
        <v>0.03</v>
      </c>
      <c r="T43" s="138">
        <v>3.5000000000000003E-2</v>
      </c>
      <c r="U43" s="138">
        <v>3.4000000000000002E-2</v>
      </c>
      <c r="V43" s="191">
        <v>0.03</v>
      </c>
      <c r="W43" s="191">
        <v>2.9000000000000001E-2</v>
      </c>
      <c r="X43" s="63" t="e">
        <v>#NAME?</v>
      </c>
    </row>
    <row r="44" spans="2:24" ht="13.5" customHeight="1">
      <c r="B44" s="8" t="s">
        <v>173</v>
      </c>
      <c r="D44" s="33"/>
      <c r="E44" s="33">
        <v>2.6000000000000002E-2</v>
      </c>
      <c r="F44" s="33"/>
      <c r="G44" s="33"/>
      <c r="H44" s="33"/>
      <c r="I44" s="33"/>
      <c r="J44" s="33">
        <v>3.199243218825177E-2</v>
      </c>
      <c r="K44" s="33"/>
      <c r="L44" s="63">
        <v>0.03</v>
      </c>
      <c r="M44" s="33">
        <v>3.1363052549448767E-2</v>
      </c>
      <c r="N44" s="63">
        <v>2.3503532218634361E-2</v>
      </c>
      <c r="O44" s="63">
        <v>2.3608320898663097E-2</v>
      </c>
      <c r="P44" s="63">
        <v>2.5039445409877514E-2</v>
      </c>
      <c r="Q44" s="63">
        <v>2.8000000000000001E-2</v>
      </c>
      <c r="R44" s="63">
        <v>3.3000000000000002E-2</v>
      </c>
      <c r="S44" s="63">
        <v>3.4000000000000002E-2</v>
      </c>
      <c r="T44" s="63">
        <v>3.3000000000000002E-2</v>
      </c>
      <c r="U44" s="63">
        <v>3.5000000000000003E-2</v>
      </c>
      <c r="V44" s="191">
        <v>3.1E-2</v>
      </c>
      <c r="W44" s="191">
        <v>3.1E-2</v>
      </c>
      <c r="X44" s="63" t="e">
        <v>#NAME?</v>
      </c>
    </row>
    <row r="45" spans="2:24" ht="13.5" customHeight="1">
      <c r="B45" s="8" t="s">
        <v>205</v>
      </c>
      <c r="D45" s="33"/>
      <c r="E45" s="33"/>
      <c r="F45" s="33"/>
      <c r="G45" s="33"/>
      <c r="H45" s="33"/>
      <c r="I45" s="33"/>
      <c r="J45" s="33"/>
      <c r="K45" s="33"/>
      <c r="L45" s="63"/>
      <c r="M45" s="33"/>
      <c r="N45" s="63"/>
      <c r="O45" s="63"/>
      <c r="P45" s="63"/>
      <c r="Q45" s="63"/>
      <c r="R45" s="63">
        <v>1.7999999999999999E-2</v>
      </c>
      <c r="S45" s="63">
        <v>1.6E-2</v>
      </c>
      <c r="T45" s="63">
        <v>1.6E-2</v>
      </c>
      <c r="U45" s="63">
        <v>1.4999999999999999E-2</v>
      </c>
      <c r="V45" s="191">
        <v>1.4E-2</v>
      </c>
      <c r="W45" s="191">
        <v>1.0999999999999999E-2</v>
      </c>
      <c r="X45" s="63" t="e">
        <v>#NAME?</v>
      </c>
    </row>
    <row r="46" spans="2:24" ht="13.5" customHeight="1">
      <c r="B46" s="8" t="s">
        <v>204</v>
      </c>
      <c r="D46" s="33"/>
      <c r="E46" s="33"/>
      <c r="F46" s="33"/>
      <c r="G46" s="33"/>
      <c r="H46" s="33"/>
      <c r="I46" s="33"/>
      <c r="J46" s="33"/>
      <c r="K46" s="33"/>
      <c r="L46" s="63"/>
      <c r="M46" s="33"/>
      <c r="N46" s="63"/>
      <c r="O46" s="63"/>
      <c r="P46" s="63"/>
      <c r="Q46" s="63"/>
      <c r="R46" s="63">
        <v>8.9999999999999993E-3</v>
      </c>
      <c r="S46" s="63">
        <v>8.9999999999999993E-3</v>
      </c>
      <c r="T46" s="63">
        <v>8.9999999999999993E-3</v>
      </c>
      <c r="U46" s="63">
        <v>8.0000000000000002E-3</v>
      </c>
      <c r="V46" s="191">
        <v>7.0000000000000001E-3</v>
      </c>
      <c r="W46" s="191">
        <v>7.0000000000000001E-3</v>
      </c>
      <c r="X46" s="63" t="e">
        <v>#NAME?</v>
      </c>
    </row>
    <row r="47" spans="2:24" ht="13.5" customHeight="1">
      <c r="B47" s="11" t="s">
        <v>26</v>
      </c>
      <c r="D47" s="68">
        <f>+SUM(D36:D44)</f>
        <v>0</v>
      </c>
      <c r="E47" s="68">
        <f>+SUM(E36:E44)</f>
        <v>1</v>
      </c>
      <c r="F47" s="68">
        <f t="shared" ref="F47:Q47" si="7">+SUM(F36:F44)</f>
        <v>0</v>
      </c>
      <c r="G47" s="68">
        <f t="shared" si="7"/>
        <v>0</v>
      </c>
      <c r="H47" s="68">
        <f t="shared" si="7"/>
        <v>0</v>
      </c>
      <c r="I47" s="68">
        <f t="shared" si="7"/>
        <v>0</v>
      </c>
      <c r="J47" s="68">
        <f t="shared" si="7"/>
        <v>1</v>
      </c>
      <c r="K47" s="68">
        <f t="shared" si="7"/>
        <v>0</v>
      </c>
      <c r="L47" s="133">
        <f t="shared" si="7"/>
        <v>1</v>
      </c>
      <c r="M47" s="68">
        <f t="shared" si="7"/>
        <v>1</v>
      </c>
      <c r="N47" s="133">
        <f t="shared" si="7"/>
        <v>0.99999999999999989</v>
      </c>
      <c r="O47" s="68">
        <f t="shared" si="7"/>
        <v>1.0003</v>
      </c>
      <c r="P47" s="68">
        <f t="shared" si="7"/>
        <v>1.0000000000000002</v>
      </c>
      <c r="Q47" s="68">
        <f t="shared" si="7"/>
        <v>1</v>
      </c>
      <c r="R47" s="68">
        <f>+SUM(R36:R46)</f>
        <v>1</v>
      </c>
      <c r="S47" s="68">
        <f t="shared" ref="S47:X47" si="8">+SUM(S36:S46)</f>
        <v>0.98900000000000021</v>
      </c>
      <c r="T47" s="68">
        <f t="shared" si="8"/>
        <v>1.0000000000000002</v>
      </c>
      <c r="U47" s="68">
        <f t="shared" si="8"/>
        <v>1.0000000000000002</v>
      </c>
      <c r="V47" s="68">
        <f t="shared" si="8"/>
        <v>1</v>
      </c>
      <c r="W47" s="68">
        <f t="shared" si="8"/>
        <v>1</v>
      </c>
      <c r="X47" s="68" t="e">
        <f t="shared" si="8"/>
        <v>#NAME?</v>
      </c>
    </row>
    <row r="48" spans="2:24" ht="13.5" customHeight="1">
      <c r="J48" s="9"/>
      <c r="K48" s="9"/>
      <c r="L48" s="63"/>
      <c r="M48" s="63"/>
      <c r="N48" s="69"/>
      <c r="W48" s="63"/>
    </row>
    <row r="49" spans="2:24" ht="13.5" customHeight="1">
      <c r="B49" s="34"/>
      <c r="E49" s="11"/>
      <c r="G49" s="139"/>
      <c r="J49" s="9"/>
      <c r="K49" s="9"/>
      <c r="L49" s="63"/>
      <c r="M49" s="63"/>
      <c r="N49" s="69"/>
      <c r="O49" s="11"/>
      <c r="W49" s="69"/>
    </row>
    <row r="50" spans="2:24" ht="13.5" customHeight="1">
      <c r="B50" s="34"/>
      <c r="E50" s="69"/>
      <c r="H50" s="11"/>
      <c r="J50" s="9"/>
      <c r="K50" s="9"/>
      <c r="L50" s="63"/>
      <c r="M50" s="34" t="s">
        <v>28</v>
      </c>
      <c r="N50" s="9" t="e">
        <f t="shared" ref="N50:N58" si="9">X36*100</f>
        <v>#NAME?</v>
      </c>
    </row>
    <row r="51" spans="2:24" ht="13.5" customHeight="1">
      <c r="B51" s="34"/>
      <c r="J51" s="9"/>
      <c r="K51" s="9"/>
      <c r="L51" s="63"/>
      <c r="M51" s="34" t="s">
        <v>203</v>
      </c>
      <c r="N51" s="9" t="e">
        <f t="shared" si="9"/>
        <v>#NAME?</v>
      </c>
    </row>
    <row r="52" spans="2:24" ht="13.5" customHeight="1">
      <c r="B52" s="34"/>
      <c r="E52" s="69"/>
      <c r="J52" s="9"/>
      <c r="L52" s="63"/>
      <c r="M52" s="34" t="s">
        <v>200</v>
      </c>
      <c r="N52" s="9" t="e">
        <f t="shared" si="9"/>
        <v>#NAME?</v>
      </c>
    </row>
    <row r="53" spans="2:24" ht="13.5" customHeight="1">
      <c r="B53" s="34"/>
      <c r="E53" s="69"/>
      <c r="J53" s="9"/>
      <c r="K53" s="9"/>
      <c r="L53" s="63"/>
      <c r="M53" s="34" t="s">
        <v>201</v>
      </c>
      <c r="N53" s="9" t="e">
        <f t="shared" si="9"/>
        <v>#NAME?</v>
      </c>
      <c r="X53" s="9"/>
    </row>
    <row r="54" spans="2:24" ht="13.5" customHeight="1">
      <c r="B54" s="34"/>
      <c r="E54" s="133"/>
      <c r="J54" s="9"/>
      <c r="K54" s="9"/>
      <c r="L54" s="63"/>
      <c r="M54" s="34" t="s">
        <v>103</v>
      </c>
      <c r="N54" s="9" t="e">
        <f t="shared" si="9"/>
        <v>#NAME?</v>
      </c>
      <c r="X54" s="9"/>
    </row>
    <row r="55" spans="2:24" ht="13.5" customHeight="1">
      <c r="B55" s="34"/>
      <c r="M55" s="34" t="s">
        <v>86</v>
      </c>
      <c r="N55" s="9" t="e">
        <f t="shared" si="9"/>
        <v>#NAME?</v>
      </c>
      <c r="X55" s="44"/>
    </row>
    <row r="56" spans="2:24" ht="13.5" customHeight="1">
      <c r="B56" s="34"/>
      <c r="F56" s="11"/>
      <c r="G56" s="11"/>
      <c r="M56" s="34" t="s">
        <v>243</v>
      </c>
      <c r="N56" s="9" t="e">
        <f t="shared" si="9"/>
        <v>#NAME?</v>
      </c>
      <c r="V56" s="11"/>
      <c r="W56" s="81"/>
    </row>
    <row r="57" spans="2:24" ht="13.5" customHeight="1">
      <c r="B57" s="34"/>
      <c r="G57" s="70"/>
      <c r="M57" s="34" t="s">
        <v>172</v>
      </c>
      <c r="N57" s="9" t="e">
        <f t="shared" si="9"/>
        <v>#NAME?</v>
      </c>
      <c r="W57" s="47"/>
      <c r="X57" s="70"/>
    </row>
    <row r="58" spans="2:24" ht="13.5" customHeight="1">
      <c r="G58" s="63"/>
      <c r="M58" s="34" t="s">
        <v>173</v>
      </c>
      <c r="N58" s="9" t="e">
        <f t="shared" si="9"/>
        <v>#NAME?</v>
      </c>
      <c r="W58" s="47"/>
      <c r="X58" s="70"/>
    </row>
    <row r="59" spans="2:24" ht="13.5" customHeight="1">
      <c r="G59" s="63"/>
      <c r="M59" s="8" t="s">
        <v>244</v>
      </c>
      <c r="N59" s="9" t="e">
        <f>SUM(X45:X46)*100</f>
        <v>#NAME?</v>
      </c>
      <c r="W59" s="47"/>
      <c r="X59" s="70"/>
    </row>
    <row r="60" spans="2:24" ht="13.5" customHeight="1">
      <c r="G60" s="63"/>
      <c r="N60" s="9" t="e">
        <f>SUM(N50:N59)</f>
        <v>#NAME?</v>
      </c>
      <c r="W60" s="47"/>
      <c r="X60" s="70"/>
    </row>
    <row r="61" spans="2:24" ht="13.5" customHeight="1">
      <c r="G61" s="63"/>
      <c r="W61" s="47"/>
      <c r="X61" s="70"/>
    </row>
    <row r="62" spans="2:24" ht="13.5" customHeight="1">
      <c r="G62" s="63"/>
      <c r="N62" s="63"/>
      <c r="W62" s="47"/>
      <c r="X62" s="70"/>
    </row>
    <row r="63" spans="2:24" ht="13.5" customHeight="1">
      <c r="G63" s="63"/>
      <c r="W63" s="47"/>
      <c r="X63" s="70"/>
    </row>
    <row r="64" spans="2:24" ht="13.5" customHeight="1">
      <c r="G64" s="63"/>
      <c r="V64" s="11"/>
      <c r="W64" s="49"/>
      <c r="X64" s="63"/>
    </row>
    <row r="67" spans="2:23" ht="13.5" customHeight="1">
      <c r="V67" s="11"/>
      <c r="W67" s="81"/>
    </row>
    <row r="68" spans="2:23" s="64" customFormat="1" ht="13.5" customHeight="1"/>
    <row r="70" spans="2:23" ht="13.5" customHeight="1">
      <c r="C70" s="47"/>
      <c r="F70" s="63"/>
      <c r="H70" s="63"/>
      <c r="J70" s="63"/>
      <c r="N70" s="47"/>
      <c r="O70" s="47"/>
    </row>
    <row r="71" spans="2:23" ht="13.5" customHeight="1">
      <c r="C71" s="11">
        <v>2009</v>
      </c>
      <c r="D71" s="11">
        <v>2010</v>
      </c>
      <c r="E71" s="11">
        <v>2011</v>
      </c>
      <c r="F71" s="11">
        <v>2012</v>
      </c>
      <c r="G71" s="39" t="s">
        <v>232</v>
      </c>
      <c r="H71" s="39" t="s">
        <v>236</v>
      </c>
      <c r="I71" s="39" t="s">
        <v>263</v>
      </c>
      <c r="J71" s="39" t="s">
        <v>282</v>
      </c>
      <c r="K71" s="39" t="s">
        <v>283</v>
      </c>
      <c r="L71" s="39" t="s">
        <v>284</v>
      </c>
      <c r="N71" s="47"/>
      <c r="O71" s="47"/>
    </row>
    <row r="72" spans="2:23" ht="13.5" customHeight="1">
      <c r="B72" s="8" t="s">
        <v>207</v>
      </c>
      <c r="C72" s="47">
        <v>68.706999999999994</v>
      </c>
      <c r="D72" s="47">
        <v>69.908703834999997</v>
      </c>
      <c r="E72" s="47">
        <v>224.739</v>
      </c>
      <c r="F72" s="47">
        <f>566.58*0.448</f>
        <v>253.82784000000004</v>
      </c>
      <c r="G72" s="47">
        <v>250.98500000000001</v>
      </c>
      <c r="H72" s="67">
        <v>248.20500000000001</v>
      </c>
      <c r="I72" s="67">
        <v>254.08699999999999</v>
      </c>
      <c r="J72" s="8">
        <v>284</v>
      </c>
      <c r="K72" s="67">
        <v>287.99700000000001</v>
      </c>
      <c r="L72" s="67" t="e">
        <v>#NAME?</v>
      </c>
      <c r="N72" s="47"/>
      <c r="O72" s="47"/>
    </row>
    <row r="73" spans="2:23" ht="13.5" customHeight="1">
      <c r="B73" s="8" t="s">
        <v>208</v>
      </c>
      <c r="C73" s="47">
        <v>65.032986653999998</v>
      </c>
      <c r="D73" s="47">
        <v>102.43</v>
      </c>
      <c r="E73" s="47">
        <v>168.35400000000001</v>
      </c>
      <c r="F73" s="47">
        <f>566.58*0.306</f>
        <v>173.37348</v>
      </c>
      <c r="G73" s="47">
        <v>189.756</v>
      </c>
      <c r="H73" s="67">
        <v>192.31100000000001</v>
      </c>
      <c r="I73" s="67">
        <v>195.01300000000001</v>
      </c>
      <c r="J73" s="8">
        <v>230</v>
      </c>
      <c r="K73" s="67">
        <v>238.315</v>
      </c>
      <c r="L73" s="67" t="e">
        <v>#NAME?</v>
      </c>
      <c r="N73" s="47"/>
      <c r="O73" s="47"/>
    </row>
    <row r="74" spans="2:23" ht="13.5" customHeight="1">
      <c r="B74" s="8" t="s">
        <v>34</v>
      </c>
      <c r="C74" s="47">
        <v>223.994013346</v>
      </c>
      <c r="D74" s="47">
        <v>278.880296165</v>
      </c>
      <c r="E74" s="47">
        <v>168.45699999999999</v>
      </c>
      <c r="F74" s="47">
        <f>566.58*0.246</f>
        <v>139.37868</v>
      </c>
      <c r="G74" s="47">
        <v>124.785</v>
      </c>
      <c r="H74" s="67">
        <v>126.74100000000001</v>
      </c>
      <c r="I74" s="67">
        <v>127.104</v>
      </c>
      <c r="J74" s="8">
        <v>122</v>
      </c>
      <c r="K74" s="9">
        <v>116.029</v>
      </c>
      <c r="L74" s="67">
        <v>0</v>
      </c>
      <c r="N74" s="49"/>
      <c r="O74" s="49"/>
    </row>
    <row r="75" spans="2:23" ht="13.5" customHeight="1">
      <c r="B75" s="8" t="s">
        <v>26</v>
      </c>
      <c r="C75" s="49">
        <f>SUM(C72:C74)</f>
        <v>357.73400000000004</v>
      </c>
      <c r="D75" s="49">
        <f>SUM(D72:D74)</f>
        <v>451.21899999999999</v>
      </c>
      <c r="E75" s="49">
        <f>SUM(E72:E74)</f>
        <v>561.54999999999995</v>
      </c>
      <c r="F75" s="49">
        <f t="shared" ref="F75:L75" si="10">SUM(F72:F74)</f>
        <v>566.58000000000004</v>
      </c>
      <c r="G75" s="49">
        <f t="shared" si="10"/>
        <v>565.52599999999995</v>
      </c>
      <c r="H75" s="49">
        <f t="shared" si="10"/>
        <v>567.25700000000006</v>
      </c>
      <c r="I75" s="49">
        <f t="shared" si="10"/>
        <v>576.20400000000006</v>
      </c>
      <c r="J75" s="49">
        <f t="shared" si="10"/>
        <v>636</v>
      </c>
      <c r="K75" s="49">
        <f t="shared" si="10"/>
        <v>642.34100000000001</v>
      </c>
      <c r="L75" s="49" t="e">
        <f t="shared" si="10"/>
        <v>#NAME?</v>
      </c>
      <c r="O75" s="47"/>
    </row>
    <row r="76" spans="2:23" ht="13.5" customHeight="1">
      <c r="N76" s="39"/>
      <c r="O76" s="39"/>
    </row>
    <row r="77" spans="2:23" ht="13.5" customHeight="1">
      <c r="C77" s="11">
        <v>2009</v>
      </c>
      <c r="D77" s="11">
        <v>2010</v>
      </c>
      <c r="E77" s="11">
        <v>2011</v>
      </c>
      <c r="F77" s="11">
        <v>2012</v>
      </c>
      <c r="G77" s="39" t="s">
        <v>232</v>
      </c>
      <c r="H77" s="39" t="s">
        <v>236</v>
      </c>
      <c r="I77" s="39" t="s">
        <v>263</v>
      </c>
      <c r="J77" s="39" t="s">
        <v>282</v>
      </c>
      <c r="K77" s="39" t="s">
        <v>283</v>
      </c>
      <c r="L77" s="39" t="s">
        <v>284</v>
      </c>
      <c r="N77" s="63"/>
      <c r="O77" s="63"/>
    </row>
    <row r="78" spans="2:23" ht="13.5" customHeight="1">
      <c r="B78" s="8" t="s">
        <v>207</v>
      </c>
      <c r="C78" s="47">
        <f>(C72/$C$75)*100</f>
        <v>19.20616994750289</v>
      </c>
      <c r="D78" s="47">
        <f>(D72/$D$75)*100</f>
        <v>15.49329789636518</v>
      </c>
      <c r="E78" s="47">
        <f>(E72/$E$75)*100</f>
        <v>40.021191345383315</v>
      </c>
      <c r="F78" s="47">
        <v>45</v>
      </c>
      <c r="G78" s="47">
        <f>(G72/$G$75)*100</f>
        <v>44.38080654116699</v>
      </c>
      <c r="H78" s="47">
        <f>(H72/$H$75)*100</f>
        <v>43.7552996260954</v>
      </c>
      <c r="I78" s="47">
        <f>(I72/$I$75)*100</f>
        <v>44.09670880452061</v>
      </c>
      <c r="J78" s="47">
        <f>(J72/$J$75)*100</f>
        <v>44.654088050314463</v>
      </c>
      <c r="K78" s="47">
        <f>(K72/$K$75)*100</f>
        <v>44.835531283228072</v>
      </c>
      <c r="L78" s="47" t="e">
        <f>(L72/$L$75)*100</f>
        <v>#NAME?</v>
      </c>
      <c r="N78" s="63"/>
      <c r="O78" s="63"/>
    </row>
    <row r="79" spans="2:23" ht="13.5" customHeight="1">
      <c r="B79" s="8" t="s">
        <v>208</v>
      </c>
      <c r="C79" s="47">
        <f>(C73/$C$75)*100</f>
        <v>18.179146140428358</v>
      </c>
      <c r="D79" s="47">
        <f>(D73/$D$75)*100</f>
        <v>22.700728471097182</v>
      </c>
      <c r="E79" s="47">
        <f>(E73/$E$75)*100</f>
        <v>29.980233282877755</v>
      </c>
      <c r="F79" s="47">
        <v>31</v>
      </c>
      <c r="G79" s="47">
        <f>(G73/$G$75)*100</f>
        <v>33.553894957968339</v>
      </c>
      <c r="H79" s="47">
        <f>(H73/$H$75)*100</f>
        <v>33.901917473032505</v>
      </c>
      <c r="I79" s="47">
        <f>(I73/$I$75)*100</f>
        <v>33.844437039659567</v>
      </c>
      <c r="J79" s="47">
        <f>(J73/$J$75)*100</f>
        <v>36.163522012578611</v>
      </c>
      <c r="K79" s="47">
        <f>(K73/$K$75)*100</f>
        <v>37.101010211087257</v>
      </c>
      <c r="L79" s="47" t="e">
        <f>(L73/$L$75)*100</f>
        <v>#NAME?</v>
      </c>
      <c r="N79" s="63"/>
      <c r="O79" s="63"/>
    </row>
    <row r="80" spans="2:23" ht="13.5" customHeight="1">
      <c r="B80" s="8" t="s">
        <v>34</v>
      </c>
      <c r="C80" s="47">
        <f>(C74/$C$75)*100</f>
        <v>62.614683912068735</v>
      </c>
      <c r="D80" s="47">
        <f>(D74/$D$75)*100</f>
        <v>61.805973632537636</v>
      </c>
      <c r="E80" s="47">
        <f>(E74/$E$75)*100</f>
        <v>29.998575371738941</v>
      </c>
      <c r="F80" s="47">
        <v>24</v>
      </c>
      <c r="G80" s="47">
        <f>(G74/$G$75)*100</f>
        <v>22.065298500864682</v>
      </c>
      <c r="H80" s="47">
        <f>(H74/$H$75)*100</f>
        <v>22.342782900872091</v>
      </c>
      <c r="I80" s="47">
        <f>(I74/$I$75)*100</f>
        <v>22.058854155819812</v>
      </c>
      <c r="J80" s="47">
        <f>(J74/$J$75)*100</f>
        <v>19.182389937106919</v>
      </c>
      <c r="K80" s="47">
        <f>(K74/$K$75)*100</f>
        <v>18.063458505684675</v>
      </c>
      <c r="L80" s="47" t="e">
        <f>(L74/$L$75)*100</f>
        <v>#NAME?</v>
      </c>
      <c r="N80" s="63"/>
      <c r="O80" s="63"/>
    </row>
    <row r="81" spans="2:23" ht="13.5" customHeight="1">
      <c r="C81" s="49">
        <f t="shared" ref="C81:H81" si="11">SUM(C78:C80)</f>
        <v>99.999999999999972</v>
      </c>
      <c r="D81" s="49">
        <f t="shared" si="11"/>
        <v>100</v>
      </c>
      <c r="E81" s="49">
        <f t="shared" si="11"/>
        <v>100.00000000000001</v>
      </c>
      <c r="F81" s="49">
        <f t="shared" si="11"/>
        <v>100</v>
      </c>
      <c r="G81" s="49">
        <f t="shared" si="11"/>
        <v>100.00000000000001</v>
      </c>
      <c r="H81" s="49">
        <f t="shared" si="11"/>
        <v>100</v>
      </c>
      <c r="I81" s="49">
        <f>SUM(I78:I80)</f>
        <v>99.999999999999986</v>
      </c>
      <c r="J81" s="49">
        <f>SUM(J78:J80)</f>
        <v>99.999999999999986</v>
      </c>
      <c r="K81" s="49">
        <f>SUM(K78:K80)</f>
        <v>100</v>
      </c>
      <c r="L81" s="49" t="e">
        <f>SUM(L78:L80)</f>
        <v>#NAME?</v>
      </c>
      <c r="N81" s="63"/>
      <c r="O81" s="63"/>
    </row>
    <row r="82" spans="2:23" ht="13.5" customHeight="1">
      <c r="C82" s="63"/>
      <c r="D82" s="63"/>
      <c r="E82" s="63"/>
      <c r="F82" s="63"/>
      <c r="G82" s="63"/>
      <c r="H82" s="63"/>
      <c r="I82" s="63"/>
      <c r="J82" s="63"/>
      <c r="K82" s="63"/>
      <c r="L82" s="63"/>
      <c r="M82" s="63"/>
      <c r="N82" s="63"/>
      <c r="O82" s="63"/>
    </row>
    <row r="83" spans="2:23" ht="13.5" customHeight="1">
      <c r="C83" s="49"/>
      <c r="D83" s="49">
        <f>15+23+62</f>
        <v>100</v>
      </c>
      <c r="E83" s="49">
        <f>40+30+30</f>
        <v>100</v>
      </c>
      <c r="F83" s="49">
        <f>45+31+24</f>
        <v>100</v>
      </c>
      <c r="G83" s="49">
        <f>44+34+22</f>
        <v>100</v>
      </c>
      <c r="H83" s="63"/>
      <c r="I83" s="63"/>
      <c r="J83" s="63"/>
      <c r="K83" s="63"/>
      <c r="L83" s="63"/>
      <c r="M83" s="63"/>
      <c r="N83" s="63"/>
      <c r="O83" s="63"/>
    </row>
    <row r="84" spans="2:23" ht="13.5" customHeight="1">
      <c r="C84" s="63"/>
      <c r="D84" s="63"/>
      <c r="E84" s="63"/>
      <c r="F84" s="63"/>
      <c r="G84" s="63"/>
      <c r="H84" s="63"/>
      <c r="I84" s="63"/>
      <c r="J84" s="63"/>
      <c r="K84" s="63"/>
      <c r="L84" s="63"/>
      <c r="M84" s="63"/>
      <c r="N84" s="63"/>
      <c r="O84" s="63"/>
    </row>
    <row r="85" spans="2:23" ht="13.5" customHeight="1">
      <c r="C85" s="133"/>
      <c r="D85" s="133"/>
      <c r="E85" s="133"/>
      <c r="F85" s="133"/>
      <c r="G85" s="133"/>
      <c r="H85" s="133"/>
      <c r="I85" s="133"/>
      <c r="J85" s="133"/>
      <c r="K85" s="133"/>
      <c r="L85" s="133"/>
      <c r="M85" s="133"/>
      <c r="N85" s="133"/>
      <c r="O85" s="133"/>
    </row>
    <row r="87" spans="2:23" ht="13.5" customHeight="1">
      <c r="C87" s="11">
        <v>2009</v>
      </c>
      <c r="D87" s="11">
        <v>2010</v>
      </c>
      <c r="E87" s="11">
        <v>2011</v>
      </c>
      <c r="F87" s="11">
        <v>2012</v>
      </c>
      <c r="G87" s="39" t="s">
        <v>232</v>
      </c>
      <c r="H87" s="39" t="s">
        <v>236</v>
      </c>
      <c r="I87" s="39" t="s">
        <v>263</v>
      </c>
      <c r="J87" s="39" t="s">
        <v>282</v>
      </c>
      <c r="K87" s="39" t="s">
        <v>283</v>
      </c>
      <c r="L87" s="39" t="s">
        <v>284</v>
      </c>
    </row>
    <row r="88" spans="2:23" ht="13.5" customHeight="1">
      <c r="B88" s="8" t="s">
        <v>28</v>
      </c>
      <c r="D88" s="47">
        <v>121.82913000000001</v>
      </c>
      <c r="E88" s="47">
        <v>239.28800000000001</v>
      </c>
      <c r="F88" s="47">
        <v>242.74299999999999</v>
      </c>
      <c r="G88" s="47">
        <f t="shared" ref="G88:L89" si="12">S27/1000</f>
        <v>247.245</v>
      </c>
      <c r="H88" s="47">
        <f t="shared" si="12"/>
        <v>253.86799999999999</v>
      </c>
      <c r="I88" s="47">
        <f t="shared" si="12"/>
        <v>256.62599999999998</v>
      </c>
      <c r="J88" s="47">
        <f>V27/1000</f>
        <v>310.49099999999999</v>
      </c>
      <c r="K88" s="47">
        <f t="shared" si="12"/>
        <v>311.94099999999997</v>
      </c>
      <c r="L88" s="47" t="e">
        <f t="shared" si="12"/>
        <v>#NAME?</v>
      </c>
    </row>
    <row r="89" spans="2:23" ht="13.5" customHeight="1">
      <c r="B89" s="8" t="s">
        <v>88</v>
      </c>
      <c r="D89" s="47">
        <v>329.38986999999997</v>
      </c>
      <c r="E89" s="47">
        <v>322.262</v>
      </c>
      <c r="F89" s="47">
        <v>323.83699999999999</v>
      </c>
      <c r="G89" s="47">
        <f t="shared" si="12"/>
        <v>318.28080439499996</v>
      </c>
      <c r="H89" s="47">
        <f t="shared" si="12"/>
        <v>313.38900000000001</v>
      </c>
      <c r="I89" s="47">
        <f t="shared" si="12"/>
        <v>319.57799999999997</v>
      </c>
      <c r="J89" s="47">
        <f t="shared" si="12"/>
        <v>325.28300000000002</v>
      </c>
      <c r="K89" s="47">
        <f t="shared" si="12"/>
        <v>330.4</v>
      </c>
      <c r="L89" s="47" t="e">
        <f t="shared" si="12"/>
        <v>#NAME?</v>
      </c>
    </row>
    <row r="90" spans="2:23" ht="13.5" customHeight="1">
      <c r="D90" s="49">
        <f>SUM(D88:D89)</f>
        <v>451.21899999999999</v>
      </c>
      <c r="E90" s="49">
        <f>SUM(E88:E89)</f>
        <v>561.54999999999995</v>
      </c>
      <c r="F90" s="49">
        <f t="shared" ref="F90:L90" si="13">SUM(F88:F89)</f>
        <v>566.57999999999993</v>
      </c>
      <c r="G90" s="49">
        <f t="shared" si="13"/>
        <v>565.52580439500002</v>
      </c>
      <c r="H90" s="49">
        <f t="shared" si="13"/>
        <v>567.25700000000006</v>
      </c>
      <c r="I90" s="49">
        <f t="shared" si="13"/>
        <v>576.20399999999995</v>
      </c>
      <c r="J90" s="49">
        <f t="shared" si="13"/>
        <v>635.774</v>
      </c>
      <c r="K90" s="49">
        <f t="shared" si="13"/>
        <v>642.34099999999989</v>
      </c>
      <c r="L90" s="49" t="e">
        <f t="shared" si="13"/>
        <v>#NAME?</v>
      </c>
    </row>
    <row r="91" spans="2:23" ht="13.5" customHeight="1">
      <c r="F91" s="63"/>
      <c r="G91" s="63"/>
      <c r="H91" s="63"/>
    </row>
    <row r="92" spans="2:23" ht="13.5" customHeight="1">
      <c r="D92" s="11">
        <v>2010</v>
      </c>
      <c r="E92" s="11">
        <v>2011</v>
      </c>
      <c r="F92" s="11">
        <v>2012</v>
      </c>
      <c r="G92" s="39" t="s">
        <v>232</v>
      </c>
      <c r="H92" s="39" t="s">
        <v>236</v>
      </c>
      <c r="I92" s="39" t="s">
        <v>263</v>
      </c>
      <c r="J92" s="39" t="s">
        <v>282</v>
      </c>
      <c r="K92" s="39" t="s">
        <v>283</v>
      </c>
      <c r="L92" s="39" t="s">
        <v>284</v>
      </c>
      <c r="V92" s="8">
        <v>30</v>
      </c>
      <c r="W92" s="8">
        <v>62</v>
      </c>
    </row>
    <row r="93" spans="2:23" ht="13.5" customHeight="1">
      <c r="B93" s="8" t="s">
        <v>28</v>
      </c>
      <c r="D93" s="69">
        <f t="shared" ref="D93:L93" si="14">D88/D$90</f>
        <v>0.27</v>
      </c>
      <c r="E93" s="69">
        <f t="shared" si="14"/>
        <v>0.42612055916659253</v>
      </c>
      <c r="F93" s="69">
        <f t="shared" si="14"/>
        <v>0.4284355254333016</v>
      </c>
      <c r="G93" s="69">
        <f t="shared" si="14"/>
        <v>0.43719490442085646</v>
      </c>
      <c r="H93" s="69">
        <f t="shared" si="14"/>
        <v>0.44753612560091804</v>
      </c>
      <c r="I93" s="69">
        <f t="shared" si="14"/>
        <v>0.44537351354728533</v>
      </c>
      <c r="J93" s="69">
        <f t="shared" si="14"/>
        <v>0.48836693542044812</v>
      </c>
      <c r="K93" s="69">
        <f t="shared" si="14"/>
        <v>0.48563146366182453</v>
      </c>
      <c r="L93" s="69" t="e">
        <f t="shared" si="14"/>
        <v>#NAME?</v>
      </c>
      <c r="V93" s="8">
        <v>30</v>
      </c>
      <c r="W93" s="8">
        <v>23</v>
      </c>
    </row>
    <row r="94" spans="2:23" ht="13.5" customHeight="1">
      <c r="B94" s="8" t="s">
        <v>88</v>
      </c>
      <c r="D94" s="69">
        <f t="shared" ref="D94:L94" si="15">D89/D$90</f>
        <v>0.73</v>
      </c>
      <c r="E94" s="69">
        <f t="shared" si="15"/>
        <v>0.57387944083340758</v>
      </c>
      <c r="F94" s="69">
        <f t="shared" si="15"/>
        <v>0.57156447456669845</v>
      </c>
      <c r="G94" s="69">
        <f t="shared" si="15"/>
        <v>0.56280509557914349</v>
      </c>
      <c r="H94" s="69">
        <f t="shared" si="15"/>
        <v>0.55246387439908184</v>
      </c>
      <c r="I94" s="69">
        <f t="shared" si="15"/>
        <v>0.55462648645271462</v>
      </c>
      <c r="J94" s="69">
        <f t="shared" si="15"/>
        <v>0.51163306457955182</v>
      </c>
      <c r="K94" s="69">
        <f t="shared" si="15"/>
        <v>0.51436853633817559</v>
      </c>
      <c r="L94" s="69" t="e">
        <f t="shared" si="15"/>
        <v>#NAME?</v>
      </c>
      <c r="V94" s="8">
        <v>40</v>
      </c>
      <c r="W94" s="8">
        <v>15</v>
      </c>
    </row>
    <row r="95" spans="2:23" ht="13.5" customHeight="1">
      <c r="D95" s="133">
        <f t="shared" ref="D95:L95" si="16">SUM(D93:D94)</f>
        <v>1</v>
      </c>
      <c r="E95" s="133">
        <f t="shared" si="16"/>
        <v>1</v>
      </c>
      <c r="F95" s="133">
        <f t="shared" si="16"/>
        <v>1</v>
      </c>
      <c r="G95" s="133">
        <f t="shared" si="16"/>
        <v>1</v>
      </c>
      <c r="H95" s="133">
        <f t="shared" si="16"/>
        <v>0.99999999999999989</v>
      </c>
      <c r="I95" s="133">
        <f t="shared" si="16"/>
        <v>1</v>
      </c>
      <c r="J95" s="133">
        <f t="shared" si="16"/>
        <v>1</v>
      </c>
      <c r="K95" s="133">
        <f t="shared" si="16"/>
        <v>1</v>
      </c>
      <c r="L95" s="133" t="e">
        <f t="shared" si="16"/>
        <v>#NAME?</v>
      </c>
    </row>
    <row r="98" spans="2:12" ht="13.5" customHeight="1">
      <c r="C98" s="11">
        <v>2009</v>
      </c>
      <c r="D98" s="11">
        <v>2010</v>
      </c>
      <c r="E98" s="11">
        <v>2011</v>
      </c>
      <c r="F98" s="11">
        <v>2012</v>
      </c>
      <c r="G98" s="39" t="s">
        <v>232</v>
      </c>
      <c r="H98" s="39" t="s">
        <v>236</v>
      </c>
      <c r="I98" s="39" t="s">
        <v>263</v>
      </c>
      <c r="J98" s="39" t="s">
        <v>282</v>
      </c>
      <c r="K98" s="39" t="s">
        <v>283</v>
      </c>
      <c r="L98" s="39" t="s">
        <v>284</v>
      </c>
    </row>
    <row r="99" spans="2:12" ht="13.5" customHeight="1">
      <c r="B99" s="8" t="s">
        <v>245</v>
      </c>
      <c r="D99" s="8">
        <v>75</v>
      </c>
      <c r="E99" s="8">
        <v>196</v>
      </c>
      <c r="F99" s="8">
        <v>195</v>
      </c>
      <c r="G99" s="67">
        <v>201.38300000000001</v>
      </c>
      <c r="H99" s="67">
        <v>207.31299999999999</v>
      </c>
      <c r="I99" s="67">
        <v>212.01400000000001</v>
      </c>
      <c r="J99" s="67">
        <v>266.16800000000001</v>
      </c>
      <c r="K99" s="67">
        <v>267.791</v>
      </c>
      <c r="L99" s="67" t="e">
        <v>#NAME?</v>
      </c>
    </row>
    <row r="101" spans="2:12" ht="13.5" customHeight="1">
      <c r="B101" s="11" t="s">
        <v>246</v>
      </c>
      <c r="C101" s="11">
        <v>2009</v>
      </c>
      <c r="D101" s="11">
        <v>2010</v>
      </c>
      <c r="E101" s="11">
        <v>2011</v>
      </c>
      <c r="F101" s="11">
        <v>2012</v>
      </c>
      <c r="G101" s="39" t="s">
        <v>232</v>
      </c>
      <c r="H101" s="39" t="s">
        <v>236</v>
      </c>
      <c r="I101" s="39" t="s">
        <v>263</v>
      </c>
    </row>
    <row r="102" spans="2:12" ht="13.5" customHeight="1">
      <c r="B102" s="8" t="s">
        <v>247</v>
      </c>
      <c r="F102" s="8">
        <v>60</v>
      </c>
      <c r="G102" s="8">
        <v>61</v>
      </c>
    </row>
    <row r="103" spans="2:12" ht="13.5" customHeight="1">
      <c r="B103" s="8" t="s">
        <v>248</v>
      </c>
      <c r="F103" s="8">
        <v>104</v>
      </c>
      <c r="G103" s="8">
        <v>105</v>
      </c>
    </row>
    <row r="114" spans="2:18" ht="13.5" customHeight="1">
      <c r="O114" s="63"/>
    </row>
    <row r="118" spans="2:18" s="64" customFormat="1" ht="13.5" customHeight="1"/>
    <row r="119" spans="2:18" ht="13.5" customHeight="1">
      <c r="E119" s="279">
        <v>2011</v>
      </c>
      <c r="F119" s="279"/>
      <c r="G119" s="279"/>
      <c r="H119" s="279"/>
      <c r="I119" s="279">
        <v>2012</v>
      </c>
      <c r="J119" s="279"/>
      <c r="K119" s="279"/>
      <c r="L119" s="279"/>
      <c r="M119" s="279">
        <v>2013</v>
      </c>
      <c r="N119" s="279"/>
      <c r="O119" s="279"/>
      <c r="P119" s="279"/>
    </row>
    <row r="120" spans="2:18" ht="13.5" customHeight="1">
      <c r="B120" s="11" t="s">
        <v>163</v>
      </c>
      <c r="C120" s="41">
        <v>2009</v>
      </c>
      <c r="D120" s="140">
        <v>2010</v>
      </c>
      <c r="E120" s="39" t="s">
        <v>112</v>
      </c>
      <c r="F120" s="39" t="s">
        <v>113</v>
      </c>
      <c r="G120" s="39" t="s">
        <v>114</v>
      </c>
      <c r="H120" s="140" t="s">
        <v>115</v>
      </c>
      <c r="I120" s="39" t="s">
        <v>112</v>
      </c>
      <c r="J120" s="39" t="s">
        <v>113</v>
      </c>
      <c r="K120" s="39" t="s">
        <v>114</v>
      </c>
      <c r="L120" s="140" t="s">
        <v>115</v>
      </c>
      <c r="M120" s="39" t="s">
        <v>112</v>
      </c>
      <c r="N120" s="39" t="s">
        <v>113</v>
      </c>
      <c r="O120" s="39" t="s">
        <v>114</v>
      </c>
      <c r="P120" s="39" t="s">
        <v>115</v>
      </c>
      <c r="Q120" s="39" t="s">
        <v>112</v>
      </c>
      <c r="R120" s="39" t="s">
        <v>113</v>
      </c>
    </row>
    <row r="121" spans="2:18" ht="13.5" customHeight="1">
      <c r="B121" s="8" t="s">
        <v>160</v>
      </c>
      <c r="C121" s="9">
        <v>147783</v>
      </c>
      <c r="D121" s="9">
        <v>198451</v>
      </c>
      <c r="E121" s="9">
        <v>199339.59742699997</v>
      </c>
      <c r="F121" s="9">
        <v>165270</v>
      </c>
      <c r="G121" s="9">
        <v>66799</v>
      </c>
      <c r="H121" s="9">
        <v>63982</v>
      </c>
      <c r="I121" s="9">
        <v>72304</v>
      </c>
      <c r="J121" s="9">
        <v>68693</v>
      </c>
      <c r="K121" s="9">
        <v>66619</v>
      </c>
      <c r="L121" s="9">
        <v>49997</v>
      </c>
      <c r="M121" s="9">
        <v>38564</v>
      </c>
      <c r="N121" s="9">
        <v>31555</v>
      </c>
      <c r="O121" s="9">
        <v>27866</v>
      </c>
      <c r="P121" s="9">
        <v>18013</v>
      </c>
      <c r="Q121" s="9">
        <v>21334</v>
      </c>
      <c r="R121" s="9" t="e">
        <v>#NAME?</v>
      </c>
    </row>
    <row r="122" spans="2:18" ht="13.5" customHeight="1">
      <c r="B122" s="8" t="s">
        <v>161</v>
      </c>
      <c r="C122" s="9">
        <v>11029.7133565523</v>
      </c>
      <c r="D122" s="9">
        <v>44239</v>
      </c>
      <c r="E122" s="9">
        <v>30579.656693361667</v>
      </c>
      <c r="F122" s="9">
        <v>24789</v>
      </c>
      <c r="G122" s="9">
        <v>19652</v>
      </c>
      <c r="H122" s="9">
        <v>24684</v>
      </c>
      <c r="I122" s="9">
        <v>24112</v>
      </c>
      <c r="J122" s="9">
        <v>21061</v>
      </c>
      <c r="K122" s="9">
        <v>17271</v>
      </c>
      <c r="L122" s="9">
        <v>20574.054725999998</v>
      </c>
      <c r="M122" s="8">
        <v>18949</v>
      </c>
      <c r="N122" s="9">
        <v>16747</v>
      </c>
      <c r="O122" s="9">
        <v>19360.249524309998</v>
      </c>
      <c r="P122" s="9">
        <v>21743.922628</v>
      </c>
      <c r="Q122" s="9">
        <v>17966.245948</v>
      </c>
      <c r="R122" s="9" t="e">
        <v>#NAME?</v>
      </c>
    </row>
    <row r="123" spans="2:18" ht="13.5" customHeight="1">
      <c r="B123" s="11" t="s">
        <v>162</v>
      </c>
      <c r="C123" s="44">
        <f>SUM(C121:C122)</f>
        <v>158812.7133565523</v>
      </c>
      <c r="D123" s="44">
        <f>SUM(D121:D122)</f>
        <v>242690</v>
      </c>
      <c r="E123" s="44">
        <f t="shared" ref="E123:P123" si="17">SUM(E121:E122)</f>
        <v>229919.25412036164</v>
      </c>
      <c r="F123" s="44">
        <f t="shared" si="17"/>
        <v>190059</v>
      </c>
      <c r="G123" s="44">
        <f t="shared" si="17"/>
        <v>86451</v>
      </c>
      <c r="H123" s="44">
        <f t="shared" si="17"/>
        <v>88666</v>
      </c>
      <c r="I123" s="44">
        <f t="shared" si="17"/>
        <v>96416</v>
      </c>
      <c r="J123" s="44">
        <f t="shared" si="17"/>
        <v>89754</v>
      </c>
      <c r="K123" s="44">
        <f t="shared" si="17"/>
        <v>83890</v>
      </c>
      <c r="L123" s="44">
        <f t="shared" si="17"/>
        <v>70571.054726000002</v>
      </c>
      <c r="M123" s="44">
        <f t="shared" si="17"/>
        <v>57513</v>
      </c>
      <c r="N123" s="44">
        <f t="shared" si="17"/>
        <v>48302</v>
      </c>
      <c r="O123" s="44">
        <f t="shared" si="17"/>
        <v>47226.249524309998</v>
      </c>
      <c r="P123" s="44">
        <f t="shared" si="17"/>
        <v>39756.922628</v>
      </c>
      <c r="Q123" s="44">
        <f>SUM(Q121:Q122)</f>
        <v>39300.245947999996</v>
      </c>
      <c r="R123" s="44" t="e">
        <f>SUM(R121:R122)</f>
        <v>#NAME?</v>
      </c>
    </row>
    <row r="124" spans="2:18" ht="13.5" customHeight="1">
      <c r="B124" s="8" t="s">
        <v>24</v>
      </c>
      <c r="C124" s="9" t="e">
        <f>#REF!</f>
        <v>#REF!</v>
      </c>
      <c r="D124" s="9" t="e">
        <f>#REF!</f>
        <v>#REF!</v>
      </c>
      <c r="E124" s="9" t="e">
        <f>#REF!</f>
        <v>#REF!</v>
      </c>
      <c r="F124" s="9" t="e">
        <f>#REF!</f>
        <v>#REF!</v>
      </c>
      <c r="G124" s="9" t="e">
        <f>#REF!</f>
        <v>#REF!</v>
      </c>
      <c r="H124" s="9" t="e">
        <f>#REF!</f>
        <v>#REF!</v>
      </c>
      <c r="I124" s="9" t="e">
        <f>#REF!</f>
        <v>#REF!</v>
      </c>
      <c r="J124" s="9" t="e">
        <f>#REF!</f>
        <v>#REF!</v>
      </c>
      <c r="K124" s="9" t="e">
        <f>#REF!</f>
        <v>#REF!</v>
      </c>
      <c r="L124" s="9" t="e">
        <f>#REF!</f>
        <v>#REF!</v>
      </c>
      <c r="M124" s="9" t="e">
        <f>#REF!</f>
        <v>#REF!</v>
      </c>
      <c r="N124" s="9" t="e">
        <f>#REF!</f>
        <v>#REF!</v>
      </c>
      <c r="O124" s="9" t="e">
        <f>#REF!</f>
        <v>#REF!</v>
      </c>
      <c r="P124" s="9" t="e">
        <f>#REF!</f>
        <v>#REF!</v>
      </c>
      <c r="Q124" s="9" t="e">
        <f>#REF!</f>
        <v>#REF!</v>
      </c>
      <c r="R124" s="9" t="e">
        <f>#REF!</f>
        <v>#REF!</v>
      </c>
    </row>
    <row r="125" spans="2:18" ht="13.5" customHeight="1">
      <c r="B125" s="11" t="s">
        <v>159</v>
      </c>
      <c r="C125" s="141" t="e">
        <f>C123/C124</f>
        <v>#REF!</v>
      </c>
      <c r="D125" s="141" t="e">
        <f>D123/D124</f>
        <v>#REF!</v>
      </c>
      <c r="E125" s="141" t="e">
        <f t="shared" ref="E125:L125" si="18">E123/E124</f>
        <v>#REF!</v>
      </c>
      <c r="F125" s="141" t="e">
        <f t="shared" si="18"/>
        <v>#REF!</v>
      </c>
      <c r="G125" s="141" t="e">
        <f t="shared" si="18"/>
        <v>#REF!</v>
      </c>
      <c r="H125" s="141" t="e">
        <f t="shared" si="18"/>
        <v>#REF!</v>
      </c>
      <c r="I125" s="141" t="e">
        <f t="shared" si="18"/>
        <v>#REF!</v>
      </c>
      <c r="J125" s="141" t="e">
        <f t="shared" si="18"/>
        <v>#REF!</v>
      </c>
      <c r="K125" s="141" t="e">
        <f t="shared" si="18"/>
        <v>#REF!</v>
      </c>
      <c r="L125" s="141" t="e">
        <f t="shared" si="18"/>
        <v>#REF!</v>
      </c>
      <c r="M125" s="142" t="e">
        <f t="shared" ref="M125:R125" si="19">M123/M124</f>
        <v>#REF!</v>
      </c>
      <c r="N125" s="142" t="e">
        <f t="shared" si="19"/>
        <v>#REF!</v>
      </c>
      <c r="O125" s="142" t="e">
        <f t="shared" si="19"/>
        <v>#REF!</v>
      </c>
      <c r="P125" s="142" t="e">
        <f t="shared" si="19"/>
        <v>#REF!</v>
      </c>
      <c r="Q125" s="142" t="e">
        <f t="shared" si="19"/>
        <v>#REF!</v>
      </c>
      <c r="R125" s="142" t="e">
        <f t="shared" si="19"/>
        <v>#NAME?</v>
      </c>
    </row>
    <row r="126" spans="2:18" ht="13.5" customHeight="1">
      <c r="B126" s="8" t="s">
        <v>264</v>
      </c>
      <c r="C126" s="33"/>
      <c r="D126" s="33"/>
      <c r="E126" s="33"/>
      <c r="F126" s="33"/>
      <c r="G126" s="33"/>
      <c r="H126" s="33"/>
      <c r="I126" s="33"/>
      <c r="J126" s="33"/>
      <c r="K126" s="33"/>
      <c r="L126" s="33"/>
      <c r="M126" s="33"/>
      <c r="N126" s="33"/>
      <c r="O126" s="33"/>
    </row>
    <row r="127" spans="2:18" ht="13.5" customHeight="1">
      <c r="L127" s="9"/>
    </row>
    <row r="129" spans="2:22" ht="13.5" customHeight="1">
      <c r="B129" s="11"/>
      <c r="C129" s="41">
        <v>2009</v>
      </c>
      <c r="D129" s="140">
        <v>2010</v>
      </c>
      <c r="E129" s="39" t="s">
        <v>112</v>
      </c>
      <c r="F129" s="39" t="s">
        <v>113</v>
      </c>
      <c r="G129" s="39" t="s">
        <v>114</v>
      </c>
      <c r="H129" s="140" t="s">
        <v>115</v>
      </c>
      <c r="I129" s="39" t="s">
        <v>112</v>
      </c>
      <c r="J129" s="39" t="s">
        <v>113</v>
      </c>
      <c r="K129" s="39" t="s">
        <v>114</v>
      </c>
      <c r="L129" s="140" t="s">
        <v>115</v>
      </c>
      <c r="M129" s="39" t="str">
        <f>+M120</f>
        <v>Q1</v>
      </c>
      <c r="N129" s="39" t="s">
        <v>113</v>
      </c>
      <c r="O129" s="39" t="s">
        <v>114</v>
      </c>
      <c r="P129" s="39" t="s">
        <v>115</v>
      </c>
      <c r="Q129" s="39" t="s">
        <v>112</v>
      </c>
      <c r="R129" s="39" t="s">
        <v>113</v>
      </c>
    </row>
    <row r="130" spans="2:22" ht="13.5" customHeight="1">
      <c r="B130" s="8" t="s">
        <v>165</v>
      </c>
      <c r="C130" s="9">
        <v>81523.865051633198</v>
      </c>
      <c r="D130" s="9">
        <v>111449.49647899999</v>
      </c>
      <c r="E130" s="9">
        <v>116504.571023</v>
      </c>
      <c r="F130" s="9">
        <v>89382.511243999994</v>
      </c>
      <c r="G130" s="9">
        <v>64455.790651000003</v>
      </c>
      <c r="H130" s="9">
        <v>59261.664843999999</v>
      </c>
      <c r="I130" s="9">
        <v>59521.471209000003</v>
      </c>
      <c r="J130" s="9">
        <v>46580.079325999999</v>
      </c>
      <c r="K130" s="9">
        <v>38795.313749000001</v>
      </c>
      <c r="L130" s="9">
        <v>33934.220321000001</v>
      </c>
      <c r="M130" s="9">
        <v>31502</v>
      </c>
      <c r="N130" s="9">
        <v>31544</v>
      </c>
      <c r="O130" s="9">
        <f>33399</f>
        <v>33399</v>
      </c>
      <c r="P130" s="9">
        <v>28757.285471000003</v>
      </c>
      <c r="Q130" s="9">
        <v>26855.711662999998</v>
      </c>
      <c r="R130" s="190"/>
    </row>
    <row r="131" spans="2:22" ht="13.5" customHeight="1">
      <c r="B131" s="8" t="s">
        <v>24</v>
      </c>
      <c r="C131" s="9" t="e">
        <f t="shared" ref="C131:Q131" si="20">C124</f>
        <v>#REF!</v>
      </c>
      <c r="D131" s="9" t="e">
        <f t="shared" si="20"/>
        <v>#REF!</v>
      </c>
      <c r="E131" s="9" t="e">
        <f t="shared" si="20"/>
        <v>#REF!</v>
      </c>
      <c r="F131" s="9" t="e">
        <f t="shared" si="20"/>
        <v>#REF!</v>
      </c>
      <c r="G131" s="9" t="e">
        <f t="shared" si="20"/>
        <v>#REF!</v>
      </c>
      <c r="H131" s="9" t="e">
        <f t="shared" si="20"/>
        <v>#REF!</v>
      </c>
      <c r="I131" s="9" t="e">
        <f t="shared" si="20"/>
        <v>#REF!</v>
      </c>
      <c r="J131" s="9" t="e">
        <f t="shared" si="20"/>
        <v>#REF!</v>
      </c>
      <c r="K131" s="9" t="e">
        <f t="shared" si="20"/>
        <v>#REF!</v>
      </c>
      <c r="L131" s="9" t="e">
        <f t="shared" si="20"/>
        <v>#REF!</v>
      </c>
      <c r="M131" s="9" t="e">
        <f t="shared" si="20"/>
        <v>#REF!</v>
      </c>
      <c r="N131" s="9" t="e">
        <f t="shared" si="20"/>
        <v>#REF!</v>
      </c>
      <c r="O131" s="9" t="e">
        <f t="shared" si="20"/>
        <v>#REF!</v>
      </c>
      <c r="P131" s="9" t="e">
        <f t="shared" si="20"/>
        <v>#REF!</v>
      </c>
      <c r="Q131" s="9" t="e">
        <f t="shared" si="20"/>
        <v>#REF!</v>
      </c>
      <c r="R131" s="190"/>
    </row>
    <row r="132" spans="2:22" ht="13.5" customHeight="1">
      <c r="B132" s="11" t="s">
        <v>166</v>
      </c>
      <c r="C132" s="141" t="e">
        <f t="shared" ref="C132:K132" si="21">C130/C131</f>
        <v>#REF!</v>
      </c>
      <c r="D132" s="141" t="e">
        <f t="shared" si="21"/>
        <v>#REF!</v>
      </c>
      <c r="E132" s="141" t="e">
        <f t="shared" si="21"/>
        <v>#REF!</v>
      </c>
      <c r="F132" s="141" t="e">
        <f t="shared" si="21"/>
        <v>#REF!</v>
      </c>
      <c r="G132" s="141" t="e">
        <f t="shared" si="21"/>
        <v>#REF!</v>
      </c>
      <c r="H132" s="141" t="e">
        <f t="shared" si="21"/>
        <v>#REF!</v>
      </c>
      <c r="I132" s="141" t="e">
        <f t="shared" si="21"/>
        <v>#REF!</v>
      </c>
      <c r="J132" s="141" t="e">
        <f t="shared" si="21"/>
        <v>#REF!</v>
      </c>
      <c r="K132" s="141" t="e">
        <f t="shared" si="21"/>
        <v>#REF!</v>
      </c>
      <c r="L132" s="141" t="e">
        <f>(L130/L131)</f>
        <v>#REF!</v>
      </c>
      <c r="M132" s="141" t="e">
        <f t="shared" ref="M132:R132" si="22">(M130/M131)</f>
        <v>#REF!</v>
      </c>
      <c r="N132" s="141" t="e">
        <f t="shared" si="22"/>
        <v>#REF!</v>
      </c>
      <c r="O132" s="141" t="e">
        <f t="shared" si="22"/>
        <v>#REF!</v>
      </c>
      <c r="P132" s="141" t="e">
        <f t="shared" si="22"/>
        <v>#REF!</v>
      </c>
      <c r="Q132" s="141" t="e">
        <f t="shared" si="22"/>
        <v>#REF!</v>
      </c>
      <c r="R132" s="141" t="e">
        <f t="shared" si="22"/>
        <v>#DIV/0!</v>
      </c>
      <c r="S132" s="42"/>
    </row>
    <row r="135" spans="2:22" ht="13.5" customHeight="1">
      <c r="C135" s="41">
        <v>2009</v>
      </c>
      <c r="D135" s="140">
        <v>2010</v>
      </c>
      <c r="E135" s="39" t="s">
        <v>112</v>
      </c>
      <c r="F135" s="39" t="s">
        <v>113</v>
      </c>
      <c r="G135" s="39" t="s">
        <v>114</v>
      </c>
      <c r="H135" s="140" t="s">
        <v>115</v>
      </c>
      <c r="I135" s="39" t="s">
        <v>112</v>
      </c>
      <c r="J135" s="39" t="s">
        <v>113</v>
      </c>
      <c r="K135" s="39" t="s">
        <v>114</v>
      </c>
      <c r="L135" s="140" t="s">
        <v>115</v>
      </c>
      <c r="M135" s="39" t="str">
        <f>+M120</f>
        <v>Q1</v>
      </c>
      <c r="N135" s="39" t="s">
        <v>113</v>
      </c>
      <c r="O135" s="39" t="s">
        <v>114</v>
      </c>
      <c r="P135" s="39" t="s">
        <v>115</v>
      </c>
      <c r="Q135" s="39" t="s">
        <v>112</v>
      </c>
      <c r="R135" s="39" t="s">
        <v>113</v>
      </c>
    </row>
    <row r="136" spans="2:22" ht="13.5" customHeight="1">
      <c r="B136" s="11" t="s">
        <v>158</v>
      </c>
      <c r="C136" s="44">
        <f t="shared" ref="C136:L136" si="23">C123</f>
        <v>158812.7133565523</v>
      </c>
      <c r="D136" s="44">
        <f t="shared" si="23"/>
        <v>242690</v>
      </c>
      <c r="E136" s="44">
        <f t="shared" si="23"/>
        <v>229919.25412036164</v>
      </c>
      <c r="F136" s="44">
        <f t="shared" si="23"/>
        <v>190059</v>
      </c>
      <c r="G136" s="44">
        <f t="shared" si="23"/>
        <v>86451</v>
      </c>
      <c r="H136" s="44">
        <f t="shared" si="23"/>
        <v>88666</v>
      </c>
      <c r="I136" s="44">
        <f t="shared" si="23"/>
        <v>96416</v>
      </c>
      <c r="J136" s="44">
        <f t="shared" si="23"/>
        <v>89754</v>
      </c>
      <c r="K136" s="44">
        <f t="shared" si="23"/>
        <v>83890</v>
      </c>
      <c r="L136" s="44">
        <f t="shared" si="23"/>
        <v>70571.054726000002</v>
      </c>
      <c r="M136" s="44">
        <f t="shared" ref="M136:R136" si="24">M123</f>
        <v>57513</v>
      </c>
      <c r="N136" s="44">
        <f t="shared" si="24"/>
        <v>48302</v>
      </c>
      <c r="O136" s="44">
        <f t="shared" si="24"/>
        <v>47226.249524309998</v>
      </c>
      <c r="P136" s="44">
        <f t="shared" si="24"/>
        <v>39756.922628</v>
      </c>
      <c r="Q136" s="44">
        <f t="shared" si="24"/>
        <v>39300.245947999996</v>
      </c>
      <c r="R136" s="44" t="e">
        <f t="shared" si="24"/>
        <v>#NAME?</v>
      </c>
    </row>
    <row r="137" spans="2:22" ht="4.5" customHeight="1">
      <c r="C137" s="9"/>
      <c r="D137" s="9"/>
      <c r="E137" s="9"/>
      <c r="F137" s="9"/>
      <c r="G137" s="9"/>
      <c r="H137" s="9"/>
      <c r="I137" s="9"/>
      <c r="J137" s="9"/>
      <c r="K137" s="9"/>
      <c r="L137" s="9"/>
      <c r="M137" s="9"/>
    </row>
    <row r="138" spans="2:22" ht="13.5" customHeight="1">
      <c r="B138" s="11" t="s">
        <v>216</v>
      </c>
      <c r="T138" s="175"/>
      <c r="U138" s="175"/>
      <c r="V138" s="175"/>
    </row>
    <row r="139" spans="2:22" ht="13.5" customHeight="1">
      <c r="B139" s="8" t="s">
        <v>217</v>
      </c>
      <c r="C139" s="9">
        <f>C130</f>
        <v>81523.865051633198</v>
      </c>
      <c r="D139" s="9">
        <f t="shared" ref="D139:J139" si="25">D130</f>
        <v>111449.49647899999</v>
      </c>
      <c r="E139" s="9">
        <f t="shared" si="25"/>
        <v>116504.571023</v>
      </c>
      <c r="F139" s="9">
        <f t="shared" si="25"/>
        <v>89382.511243999994</v>
      </c>
      <c r="G139" s="9">
        <f t="shared" si="25"/>
        <v>64455.790651000003</v>
      </c>
      <c r="H139" s="9">
        <f t="shared" si="25"/>
        <v>59261.664843999999</v>
      </c>
      <c r="I139" s="9">
        <f t="shared" si="25"/>
        <v>59521.471209000003</v>
      </c>
      <c r="J139" s="9">
        <f t="shared" si="25"/>
        <v>46580.079325999999</v>
      </c>
      <c r="K139" s="9">
        <f>K130</f>
        <v>38795.313749000001</v>
      </c>
      <c r="L139" s="192">
        <v>17674.001953999999</v>
      </c>
      <c r="M139" s="192">
        <v>15736.439423</v>
      </c>
      <c r="N139" s="192">
        <v>14731.78896</v>
      </c>
      <c r="O139" s="9">
        <v>15094.035858310001</v>
      </c>
      <c r="P139" s="9">
        <v>8047.4705249999997</v>
      </c>
      <c r="Q139" s="9">
        <v>7348.8358939999998</v>
      </c>
      <c r="R139" s="190"/>
      <c r="T139" s="9"/>
      <c r="U139" s="9"/>
      <c r="V139" s="9"/>
    </row>
    <row r="140" spans="2:22" ht="13.5" customHeight="1">
      <c r="B140" s="8" t="s">
        <v>287</v>
      </c>
      <c r="C140" s="9"/>
      <c r="D140" s="9"/>
      <c r="E140" s="9"/>
      <c r="F140" s="9"/>
      <c r="G140" s="9"/>
      <c r="H140" s="9"/>
      <c r="I140" s="9"/>
      <c r="J140" s="9"/>
      <c r="K140" s="9"/>
      <c r="L140" s="192"/>
      <c r="M140" s="192"/>
      <c r="N140" s="192"/>
      <c r="O140" s="9"/>
      <c r="P140" s="9">
        <v>12280.161994</v>
      </c>
      <c r="Q140" s="9">
        <v>7631.0278500000004</v>
      </c>
      <c r="R140" s="190"/>
      <c r="T140" s="9"/>
      <c r="U140" s="9"/>
      <c r="V140" s="9"/>
    </row>
    <row r="141" spans="2:22" ht="13.5" customHeight="1">
      <c r="B141" s="8" t="s">
        <v>218</v>
      </c>
      <c r="D141" s="9"/>
      <c r="E141" s="9"/>
      <c r="F141" s="9"/>
      <c r="G141" s="9"/>
      <c r="H141" s="9"/>
      <c r="I141" s="9"/>
      <c r="J141" s="9"/>
      <c r="K141" s="9">
        <v>11455.235414000001</v>
      </c>
      <c r="L141" s="192">
        <v>11903.109598999999</v>
      </c>
      <c r="M141" s="192">
        <v>11179.293931000002</v>
      </c>
      <c r="N141" s="192">
        <v>13820.697561000001</v>
      </c>
      <c r="O141" s="9">
        <v>14163.498244999999</v>
      </c>
      <c r="P141" s="9">
        <v>5985.3139540000002</v>
      </c>
      <c r="Q141" s="9">
        <v>7458.5904890000002</v>
      </c>
      <c r="R141" s="190"/>
      <c r="T141" s="9"/>
      <c r="U141" s="9"/>
      <c r="V141" s="9"/>
    </row>
    <row r="142" spans="2:22" ht="13.5" customHeight="1">
      <c r="B142" s="8" t="s">
        <v>224</v>
      </c>
      <c r="C142" s="9"/>
      <c r="D142" s="9"/>
      <c r="E142" s="9"/>
      <c r="F142" s="9"/>
      <c r="G142" s="9"/>
      <c r="H142" s="9"/>
      <c r="I142" s="9"/>
      <c r="J142" s="9"/>
      <c r="K142" s="9"/>
      <c r="L142" s="192">
        <v>4792.8562600000005</v>
      </c>
      <c r="M142" s="192">
        <v>5475.999433</v>
      </c>
      <c r="N142" s="192">
        <v>2991.1448500000001</v>
      </c>
      <c r="O142" s="9">
        <v>2998.8754039999999</v>
      </c>
      <c r="P142" s="9">
        <v>2297.6531070000001</v>
      </c>
      <c r="Q142" s="9">
        <v>4266.2999770000006</v>
      </c>
      <c r="R142" s="190"/>
      <c r="T142" s="9"/>
      <c r="U142" s="9"/>
      <c r="V142" s="9"/>
    </row>
    <row r="143" spans="2:22" ht="13.5" customHeight="1">
      <c r="B143" s="8" t="s">
        <v>170</v>
      </c>
      <c r="C143" s="9"/>
      <c r="D143" s="9"/>
      <c r="E143" s="9"/>
      <c r="F143" s="9"/>
      <c r="G143" s="9"/>
      <c r="H143" s="9"/>
      <c r="I143" s="9"/>
      <c r="J143" s="9"/>
      <c r="K143" s="9">
        <v>10974.649598</v>
      </c>
      <c r="L143" s="192">
        <v>23842.260987000001</v>
      </c>
      <c r="M143" s="192">
        <v>10026.821169999999</v>
      </c>
      <c r="N143" s="192">
        <v>8485.3502019999996</v>
      </c>
      <c r="O143" s="9">
        <v>988.62668299999996</v>
      </c>
      <c r="P143" s="9">
        <v>146.685891</v>
      </c>
      <c r="Q143" s="9">
        <v>150.95745299999999</v>
      </c>
      <c r="R143" s="190"/>
      <c r="T143" s="9"/>
      <c r="U143" s="9"/>
      <c r="V143" s="9"/>
    </row>
    <row r="144" spans="2:22" ht="13.5" customHeight="1">
      <c r="B144" s="8" t="s">
        <v>169</v>
      </c>
      <c r="C144" s="9"/>
      <c r="D144" s="9"/>
      <c r="E144" s="9"/>
      <c r="F144" s="9"/>
      <c r="G144" s="9"/>
      <c r="H144" s="9"/>
      <c r="I144" s="9"/>
      <c r="J144" s="9"/>
      <c r="K144" s="9">
        <v>4643.1186710000002</v>
      </c>
      <c r="L144" s="192">
        <v>5961.0330089999998</v>
      </c>
      <c r="M144" s="192">
        <v>9412.0259059999917</v>
      </c>
      <c r="N144" s="192">
        <v>2242.2660519999999</v>
      </c>
      <c r="O144" s="9">
        <v>7574.9309380000004</v>
      </c>
      <c r="P144" s="9">
        <v>1710.382883</v>
      </c>
      <c r="Q144" s="9">
        <v>1342.5658410000001</v>
      </c>
      <c r="R144" s="190"/>
      <c r="T144" s="9"/>
      <c r="U144" s="9"/>
      <c r="V144" s="9"/>
    </row>
    <row r="145" spans="2:22" ht="13.5" customHeight="1">
      <c r="B145" s="8" t="s">
        <v>186</v>
      </c>
      <c r="C145" s="9"/>
      <c r="D145" s="9"/>
      <c r="E145" s="9"/>
      <c r="F145" s="9"/>
      <c r="G145" s="9"/>
      <c r="H145" s="9"/>
      <c r="I145" s="9"/>
      <c r="J145" s="9"/>
      <c r="K145" s="9">
        <v>1186.2668200000001</v>
      </c>
      <c r="L145" s="192">
        <v>4860.337329</v>
      </c>
      <c r="M145" s="192">
        <v>4143.4544580000002</v>
      </c>
      <c r="N145" s="192">
        <v>895.91383599999995</v>
      </c>
      <c r="O145" s="9">
        <v>682.79699699999992</v>
      </c>
      <c r="P145" s="9">
        <v>521.68386299999997</v>
      </c>
      <c r="Q145" s="9">
        <v>2112.7957660000002</v>
      </c>
      <c r="R145" s="190"/>
      <c r="T145" s="9"/>
      <c r="U145" s="9"/>
      <c r="V145" s="9"/>
    </row>
    <row r="146" spans="2:22" ht="13.5" customHeight="1">
      <c r="B146" s="8" t="s">
        <v>222</v>
      </c>
      <c r="C146" s="9"/>
      <c r="D146" s="9"/>
      <c r="E146" s="9"/>
      <c r="F146" s="9"/>
      <c r="G146" s="9"/>
      <c r="H146" s="9"/>
      <c r="I146" s="9"/>
      <c r="J146" s="9"/>
      <c r="K146" s="9"/>
      <c r="L146" s="192">
        <v>4792.8562600000005</v>
      </c>
      <c r="M146" s="192">
        <v>0</v>
      </c>
      <c r="N146" s="192">
        <v>570.47384999999997</v>
      </c>
      <c r="O146" s="9">
        <v>0</v>
      </c>
      <c r="P146" s="9">
        <v>1570.273614</v>
      </c>
      <c r="Q146" s="9">
        <v>3350.9218919999998</v>
      </c>
      <c r="R146" s="190"/>
      <c r="T146" s="9"/>
      <c r="U146" s="9"/>
      <c r="V146" s="9"/>
    </row>
    <row r="147" spans="2:22" ht="13.5" customHeight="1">
      <c r="B147" s="8" t="s">
        <v>221</v>
      </c>
      <c r="C147" s="9"/>
      <c r="D147" s="9"/>
      <c r="E147" s="9"/>
      <c r="F147" s="9"/>
      <c r="G147" s="9"/>
      <c r="H147" s="9"/>
      <c r="I147" s="9"/>
      <c r="J147" s="9"/>
      <c r="K147" s="9"/>
      <c r="L147" s="192">
        <v>1537.4555880000078</v>
      </c>
      <c r="M147" s="192">
        <v>1538.7567840000002</v>
      </c>
      <c r="N147" s="192">
        <v>4563.9942070000061</v>
      </c>
      <c r="O147" s="9">
        <v>5723</v>
      </c>
      <c r="P147" s="9">
        <v>7197.8104498740104</v>
      </c>
      <c r="Q147" s="9">
        <v>5637.1026978143045</v>
      </c>
      <c r="R147" s="190"/>
      <c r="T147" s="9"/>
      <c r="U147" s="9"/>
      <c r="V147" s="9"/>
    </row>
    <row r="148" spans="2:22" ht="13.5" customHeight="1">
      <c r="B148" s="11" t="s">
        <v>26</v>
      </c>
      <c r="C148" s="44">
        <f t="shared" ref="C148:K148" si="26">SUM(C139:C145)</f>
        <v>81523.865051633198</v>
      </c>
      <c r="D148" s="44">
        <f t="shared" si="26"/>
        <v>111449.49647899999</v>
      </c>
      <c r="E148" s="44">
        <f t="shared" si="26"/>
        <v>116504.571023</v>
      </c>
      <c r="F148" s="44">
        <f t="shared" si="26"/>
        <v>89382.511243999994</v>
      </c>
      <c r="G148" s="44">
        <f t="shared" si="26"/>
        <v>64455.790651000003</v>
      </c>
      <c r="H148" s="44">
        <f t="shared" si="26"/>
        <v>59261.664843999999</v>
      </c>
      <c r="I148" s="44">
        <f t="shared" si="26"/>
        <v>59521.471209000003</v>
      </c>
      <c r="J148" s="44">
        <f t="shared" si="26"/>
        <v>46580.079325999999</v>
      </c>
      <c r="K148" s="44">
        <f t="shared" si="26"/>
        <v>67054.584252000015</v>
      </c>
      <c r="L148" s="44">
        <f t="shared" ref="L148:Q148" si="27">SUM(L139:L147)</f>
        <v>75363.910986000003</v>
      </c>
      <c r="M148" s="44">
        <f t="shared" si="27"/>
        <v>57512.791104999989</v>
      </c>
      <c r="N148" s="44">
        <f t="shared" si="27"/>
        <v>48301.629518000002</v>
      </c>
      <c r="O148" s="44">
        <f t="shared" si="27"/>
        <v>47225.764125309994</v>
      </c>
      <c r="P148" s="44">
        <f t="shared" si="27"/>
        <v>39757.436280874012</v>
      </c>
      <c r="Q148" s="44">
        <f t="shared" si="27"/>
        <v>39299.097859814305</v>
      </c>
    </row>
    <row r="149" spans="2:22" ht="13.5" customHeight="1">
      <c r="B149" s="8" t="s">
        <v>104</v>
      </c>
      <c r="C149" s="9">
        <f t="shared" ref="C149:Q149" si="28">C136-C148</f>
        <v>77288.848304919098</v>
      </c>
      <c r="D149" s="9">
        <f t="shared" si="28"/>
        <v>131240.50352100001</v>
      </c>
      <c r="E149" s="9">
        <f t="shared" si="28"/>
        <v>113414.68309736165</v>
      </c>
      <c r="F149" s="9">
        <f t="shared" si="28"/>
        <v>100676.48875600001</v>
      </c>
      <c r="G149" s="9">
        <f t="shared" si="28"/>
        <v>21995.209348999997</v>
      </c>
      <c r="H149" s="9">
        <f t="shared" si="28"/>
        <v>29404.335156000001</v>
      </c>
      <c r="I149" s="9">
        <f t="shared" si="28"/>
        <v>36894.528790999997</v>
      </c>
      <c r="J149" s="9">
        <f t="shared" si="28"/>
        <v>43173.920674000001</v>
      </c>
      <c r="K149" s="9">
        <f t="shared" si="28"/>
        <v>16835.415747999985</v>
      </c>
      <c r="L149" s="9">
        <f t="shared" si="28"/>
        <v>-4792.8562600000005</v>
      </c>
      <c r="M149" s="9">
        <f t="shared" si="28"/>
        <v>0.20889500001067063</v>
      </c>
      <c r="N149" s="9">
        <f t="shared" si="28"/>
        <v>0.37048199999844655</v>
      </c>
      <c r="O149" s="9">
        <f t="shared" si="28"/>
        <v>0.48539900000469061</v>
      </c>
      <c r="P149" s="9">
        <f t="shared" si="28"/>
        <v>-0.51365287401131354</v>
      </c>
      <c r="Q149" s="9">
        <f t="shared" si="28"/>
        <v>1.1480881856914493</v>
      </c>
    </row>
    <row r="152" spans="2:22" ht="13.5" customHeight="1">
      <c r="B152" s="8" t="s">
        <v>158</v>
      </c>
      <c r="C152" s="40" t="e">
        <f t="shared" ref="C152:M152" si="29">C125</f>
        <v>#REF!</v>
      </c>
      <c r="D152" s="40" t="e">
        <f t="shared" si="29"/>
        <v>#REF!</v>
      </c>
      <c r="E152" s="40" t="e">
        <f t="shared" si="29"/>
        <v>#REF!</v>
      </c>
      <c r="F152" s="40" t="e">
        <f t="shared" si="29"/>
        <v>#REF!</v>
      </c>
      <c r="G152" s="40" t="e">
        <f t="shared" si="29"/>
        <v>#REF!</v>
      </c>
      <c r="H152" s="40" t="e">
        <f t="shared" si="29"/>
        <v>#REF!</v>
      </c>
      <c r="I152" s="40" t="e">
        <f t="shared" si="29"/>
        <v>#REF!</v>
      </c>
      <c r="J152" s="40" t="e">
        <f t="shared" si="29"/>
        <v>#REF!</v>
      </c>
      <c r="K152" s="40" t="e">
        <f t="shared" si="29"/>
        <v>#REF!</v>
      </c>
      <c r="L152" s="40" t="e">
        <f t="shared" si="29"/>
        <v>#REF!</v>
      </c>
      <c r="M152" s="40" t="e">
        <f t="shared" si="29"/>
        <v>#REF!</v>
      </c>
      <c r="N152" s="40" t="e">
        <f>N125</f>
        <v>#REF!</v>
      </c>
      <c r="O152" s="40" t="e">
        <f>O125</f>
        <v>#REF!</v>
      </c>
      <c r="P152" s="40" t="e">
        <f>P125</f>
        <v>#REF!</v>
      </c>
      <c r="Q152" s="40" t="e">
        <f>Q125</f>
        <v>#REF!</v>
      </c>
    </row>
    <row r="153" spans="2:22" ht="13.5" customHeight="1">
      <c r="B153" s="11" t="s">
        <v>164</v>
      </c>
    </row>
    <row r="154" spans="2:22" ht="13.5" customHeight="1">
      <c r="B154" s="8" t="s">
        <v>217</v>
      </c>
      <c r="C154" s="40" t="e">
        <f t="shared" ref="C154:K154" si="30">C139/C$124</f>
        <v>#REF!</v>
      </c>
      <c r="D154" s="40" t="e">
        <f t="shared" si="30"/>
        <v>#REF!</v>
      </c>
      <c r="E154" s="40" t="e">
        <f t="shared" si="30"/>
        <v>#REF!</v>
      </c>
      <c r="F154" s="40" t="e">
        <f t="shared" si="30"/>
        <v>#REF!</v>
      </c>
      <c r="G154" s="40" t="e">
        <f t="shared" si="30"/>
        <v>#REF!</v>
      </c>
      <c r="H154" s="40" t="e">
        <f t="shared" si="30"/>
        <v>#REF!</v>
      </c>
      <c r="I154" s="40" t="e">
        <f t="shared" si="30"/>
        <v>#REF!</v>
      </c>
      <c r="J154" s="40" t="e">
        <f t="shared" si="30"/>
        <v>#REF!</v>
      </c>
      <c r="K154" s="40" t="e">
        <f t="shared" si="30"/>
        <v>#REF!</v>
      </c>
      <c r="L154" s="143" t="e">
        <f>(L139/L$124)*100</f>
        <v>#REF!</v>
      </c>
      <c r="M154" s="143" t="e">
        <f>(M139/M$124)*100</f>
        <v>#REF!</v>
      </c>
      <c r="N154" s="143" t="e">
        <f>(N139/N$124)*100</f>
        <v>#REF!</v>
      </c>
      <c r="O154" s="8">
        <v>2.6</v>
      </c>
      <c r="P154" s="143" t="e">
        <f>(P139/P$124)*100</f>
        <v>#REF!</v>
      </c>
      <c r="Q154" s="143" t="e">
        <f t="shared" ref="Q154:Q161" si="31">(Q139/Q$124)*100</f>
        <v>#REF!</v>
      </c>
    </row>
    <row r="155" spans="2:22" ht="13.5" customHeight="1">
      <c r="B155" s="8" t="s">
        <v>287</v>
      </c>
      <c r="C155" s="40"/>
      <c r="D155" s="40"/>
      <c r="E155" s="40"/>
      <c r="F155" s="40"/>
      <c r="G155" s="40"/>
      <c r="H155" s="40"/>
      <c r="I155" s="40"/>
      <c r="J155" s="40"/>
      <c r="K155" s="40"/>
      <c r="L155" s="143"/>
      <c r="M155" s="143"/>
      <c r="N155" s="143"/>
      <c r="P155" s="143" t="e">
        <f>(P140/P$124)*100</f>
        <v>#REF!</v>
      </c>
      <c r="Q155" s="143" t="e">
        <f t="shared" si="31"/>
        <v>#REF!</v>
      </c>
    </row>
    <row r="156" spans="2:22" ht="13.5" customHeight="1">
      <c r="B156" s="8" t="s">
        <v>218</v>
      </c>
      <c r="C156" s="40" t="e">
        <f>D140/C$124</f>
        <v>#REF!</v>
      </c>
      <c r="D156" s="40" t="e">
        <f t="shared" ref="D156:K156" si="32">D141/D$124</f>
        <v>#REF!</v>
      </c>
      <c r="E156" s="40" t="e">
        <f t="shared" si="32"/>
        <v>#REF!</v>
      </c>
      <c r="F156" s="40" t="e">
        <f t="shared" si="32"/>
        <v>#REF!</v>
      </c>
      <c r="G156" s="40" t="e">
        <f t="shared" si="32"/>
        <v>#REF!</v>
      </c>
      <c r="H156" s="40" t="e">
        <f t="shared" si="32"/>
        <v>#REF!</v>
      </c>
      <c r="I156" s="40" t="e">
        <f t="shared" si="32"/>
        <v>#REF!</v>
      </c>
      <c r="J156" s="40" t="e">
        <f t="shared" si="32"/>
        <v>#REF!</v>
      </c>
      <c r="K156" s="40" t="e">
        <f t="shared" si="32"/>
        <v>#REF!</v>
      </c>
      <c r="L156" s="143" t="e">
        <f>(L141/L$124)*100</f>
        <v>#REF!</v>
      </c>
      <c r="M156" s="143" t="e">
        <f>(M141/M$124)*100</f>
        <v>#REF!</v>
      </c>
      <c r="N156" s="143" t="e">
        <f>(N141/N$124)*100</f>
        <v>#REF!</v>
      </c>
      <c r="O156" s="8">
        <v>2.5</v>
      </c>
      <c r="P156" s="143" t="e">
        <f>(P141/P$124)*100</f>
        <v>#REF!</v>
      </c>
      <c r="Q156" s="143" t="e">
        <f t="shared" si="31"/>
        <v>#REF!</v>
      </c>
    </row>
    <row r="157" spans="2:22" ht="13.5" customHeight="1">
      <c r="B157" s="8" t="s">
        <v>226</v>
      </c>
      <c r="C157" s="40"/>
      <c r="D157" s="40"/>
      <c r="E157" s="40"/>
      <c r="F157" s="40"/>
      <c r="G157" s="40"/>
      <c r="H157" s="40"/>
      <c r="I157" s="40"/>
      <c r="J157" s="40"/>
      <c r="K157" s="40"/>
      <c r="L157" s="143" t="e">
        <f>((L142/L$124)*100)</f>
        <v>#REF!</v>
      </c>
      <c r="M157" s="143" t="e">
        <f>((M142/M$124)*100)-0.1</f>
        <v>#REF!</v>
      </c>
      <c r="N157" s="143" t="e">
        <f>((N142/N$124)*100)</f>
        <v>#REF!</v>
      </c>
      <c r="O157" s="8">
        <v>0.5</v>
      </c>
      <c r="P157" s="143" t="e">
        <f>((P142/P$124)*100)</f>
        <v>#REF!</v>
      </c>
      <c r="Q157" s="143" t="e">
        <f t="shared" si="31"/>
        <v>#REF!</v>
      </c>
    </row>
    <row r="158" spans="2:22" ht="13.5" customHeight="1">
      <c r="B158" s="8" t="s">
        <v>266</v>
      </c>
      <c r="C158" s="40"/>
      <c r="D158" s="40"/>
      <c r="E158" s="40"/>
      <c r="F158" s="40"/>
      <c r="G158" s="40"/>
      <c r="H158" s="40"/>
      <c r="I158" s="40"/>
      <c r="J158" s="40"/>
      <c r="K158" s="40"/>
      <c r="L158" s="143"/>
      <c r="M158" s="143"/>
      <c r="N158" s="143"/>
      <c r="O158" s="8">
        <v>0.2</v>
      </c>
      <c r="P158" s="143" t="e">
        <f>((P143/P$124)*100)</f>
        <v>#REF!</v>
      </c>
      <c r="Q158" s="143" t="e">
        <f t="shared" si="31"/>
        <v>#REF!</v>
      </c>
    </row>
    <row r="159" spans="2:22" ht="13.5" customHeight="1">
      <c r="B159" s="8" t="s">
        <v>228</v>
      </c>
      <c r="C159" s="40" t="e">
        <f t="shared" ref="C159:K159" si="33">C143/C$124</f>
        <v>#REF!</v>
      </c>
      <c r="D159" s="40" t="e">
        <f t="shared" si="33"/>
        <v>#REF!</v>
      </c>
      <c r="E159" s="40" t="e">
        <f t="shared" si="33"/>
        <v>#REF!</v>
      </c>
      <c r="F159" s="40" t="e">
        <f t="shared" si="33"/>
        <v>#REF!</v>
      </c>
      <c r="G159" s="40" t="e">
        <f t="shared" si="33"/>
        <v>#REF!</v>
      </c>
      <c r="H159" s="40" t="e">
        <f t="shared" si="33"/>
        <v>#REF!</v>
      </c>
      <c r="I159" s="40" t="e">
        <f t="shared" si="33"/>
        <v>#REF!</v>
      </c>
      <c r="J159" s="40" t="e">
        <f t="shared" si="33"/>
        <v>#REF!</v>
      </c>
      <c r="K159" s="40" t="e">
        <f t="shared" si="33"/>
        <v>#REF!</v>
      </c>
      <c r="L159" s="143" t="e">
        <f t="shared" ref="L159:M161" si="34">(L143/L$124)*100</f>
        <v>#REF!</v>
      </c>
      <c r="M159" s="143" t="e">
        <f t="shared" si="34"/>
        <v>#REF!</v>
      </c>
      <c r="N159" s="143" t="e">
        <f>(N143/N$124)*100</f>
        <v>#REF!</v>
      </c>
      <c r="O159" s="8">
        <v>1.3</v>
      </c>
      <c r="P159" s="143" t="e">
        <f>(P144/P$124)*100</f>
        <v>#REF!</v>
      </c>
      <c r="Q159" s="143" t="e">
        <f t="shared" si="31"/>
        <v>#REF!</v>
      </c>
    </row>
    <row r="160" spans="2:22" ht="13.5" customHeight="1">
      <c r="B160" s="8" t="s">
        <v>227</v>
      </c>
      <c r="C160" s="40" t="e">
        <f t="shared" ref="C160:K160" si="35">C144/C$124</f>
        <v>#REF!</v>
      </c>
      <c r="D160" s="40" t="e">
        <f t="shared" si="35"/>
        <v>#REF!</v>
      </c>
      <c r="E160" s="40" t="e">
        <f t="shared" si="35"/>
        <v>#REF!</v>
      </c>
      <c r="F160" s="40" t="e">
        <f t="shared" si="35"/>
        <v>#REF!</v>
      </c>
      <c r="G160" s="40" t="e">
        <f t="shared" si="35"/>
        <v>#REF!</v>
      </c>
      <c r="H160" s="40" t="e">
        <f t="shared" si="35"/>
        <v>#REF!</v>
      </c>
      <c r="I160" s="40" t="e">
        <f t="shared" si="35"/>
        <v>#REF!</v>
      </c>
      <c r="J160" s="40" t="e">
        <f t="shared" si="35"/>
        <v>#REF!</v>
      </c>
      <c r="K160" s="40" t="e">
        <f t="shared" si="35"/>
        <v>#REF!</v>
      </c>
      <c r="L160" s="143" t="e">
        <f t="shared" si="34"/>
        <v>#REF!</v>
      </c>
      <c r="M160" s="143" t="e">
        <f t="shared" si="34"/>
        <v>#REF!</v>
      </c>
      <c r="N160" s="143" t="e">
        <f>(N144/N$124)*100</f>
        <v>#REF!</v>
      </c>
      <c r="O160" s="8">
        <v>0.1</v>
      </c>
      <c r="P160" s="143" t="e">
        <f>(P145/P$124)*100</f>
        <v>#REF!</v>
      </c>
      <c r="Q160" s="143" t="e">
        <f t="shared" si="31"/>
        <v>#REF!</v>
      </c>
    </row>
    <row r="161" spans="1:19" ht="13.5" customHeight="1">
      <c r="B161" s="8" t="s">
        <v>229</v>
      </c>
      <c r="C161" s="40" t="e">
        <f t="shared" ref="C161:K161" si="36">C145/C$124</f>
        <v>#REF!</v>
      </c>
      <c r="D161" s="40" t="e">
        <f t="shared" si="36"/>
        <v>#REF!</v>
      </c>
      <c r="E161" s="40" t="e">
        <f t="shared" si="36"/>
        <v>#REF!</v>
      </c>
      <c r="F161" s="40" t="e">
        <f t="shared" si="36"/>
        <v>#REF!</v>
      </c>
      <c r="G161" s="40" t="e">
        <f t="shared" si="36"/>
        <v>#REF!</v>
      </c>
      <c r="H161" s="40" t="e">
        <f t="shared" si="36"/>
        <v>#REF!</v>
      </c>
      <c r="I161" s="40" t="e">
        <f t="shared" si="36"/>
        <v>#REF!</v>
      </c>
      <c r="J161" s="40" t="e">
        <f t="shared" si="36"/>
        <v>#REF!</v>
      </c>
      <c r="K161" s="40" t="e">
        <f t="shared" si="36"/>
        <v>#REF!</v>
      </c>
      <c r="L161" s="143" t="e">
        <f t="shared" si="34"/>
        <v>#REF!</v>
      </c>
      <c r="M161" s="143" t="e">
        <f t="shared" si="34"/>
        <v>#REF!</v>
      </c>
      <c r="N161" s="143" t="e">
        <f>(N145/N$124)*100</f>
        <v>#REF!</v>
      </c>
      <c r="O161" s="42">
        <v>0</v>
      </c>
      <c r="P161" s="143" t="e">
        <f>(P146/P$124)*100</f>
        <v>#REF!</v>
      </c>
      <c r="Q161" s="143" t="e">
        <f t="shared" si="31"/>
        <v>#REF!</v>
      </c>
    </row>
    <row r="162" spans="1:19" ht="13.5" customHeight="1">
      <c r="B162" s="8" t="s">
        <v>223</v>
      </c>
      <c r="C162" s="40"/>
      <c r="D162" s="40"/>
      <c r="E162" s="40"/>
      <c r="F162" s="40"/>
      <c r="G162" s="40"/>
      <c r="H162" s="40"/>
      <c r="I162" s="40"/>
      <c r="J162" s="40"/>
      <c r="K162" s="40"/>
      <c r="L162" s="143"/>
      <c r="M162" s="143"/>
      <c r="N162" s="143"/>
      <c r="P162" s="143"/>
    </row>
    <row r="163" spans="1:19" ht="13.5" customHeight="1">
      <c r="B163" s="8" t="s">
        <v>221</v>
      </c>
      <c r="C163" s="40" t="e">
        <f t="shared" ref="C163:K163" si="37">C146/C$124</f>
        <v>#REF!</v>
      </c>
      <c r="D163" s="40" t="e">
        <f t="shared" si="37"/>
        <v>#REF!</v>
      </c>
      <c r="E163" s="40" t="e">
        <f t="shared" si="37"/>
        <v>#REF!</v>
      </c>
      <c r="F163" s="40" t="e">
        <f t="shared" si="37"/>
        <v>#REF!</v>
      </c>
      <c r="G163" s="40" t="e">
        <f t="shared" si="37"/>
        <v>#REF!</v>
      </c>
      <c r="H163" s="40" t="e">
        <f t="shared" si="37"/>
        <v>#REF!</v>
      </c>
      <c r="I163" s="40" t="e">
        <f t="shared" si="37"/>
        <v>#REF!</v>
      </c>
      <c r="J163" s="40" t="e">
        <f t="shared" si="37"/>
        <v>#REF!</v>
      </c>
      <c r="K163" s="40" t="e">
        <f t="shared" si="37"/>
        <v>#REF!</v>
      </c>
      <c r="L163" s="143" t="e">
        <f>(L147/L$124)*100</f>
        <v>#REF!</v>
      </c>
      <c r="M163" s="143" t="e">
        <f>(M147/M$124)*100</f>
        <v>#REF!</v>
      </c>
      <c r="N163" s="143" t="e">
        <f>(N147/N$124)*100</f>
        <v>#REF!</v>
      </c>
      <c r="O163" s="42">
        <v>1</v>
      </c>
      <c r="P163" s="143" t="e">
        <f>(P147/P$124)*100</f>
        <v>#REF!</v>
      </c>
      <c r="Q163" s="143" t="e">
        <f>(Q147/Q$124)*100</f>
        <v>#REF!</v>
      </c>
    </row>
    <row r="164" spans="1:19" ht="13.5" customHeight="1">
      <c r="C164" s="40"/>
      <c r="D164" s="40"/>
      <c r="E164" s="40"/>
      <c r="F164" s="40"/>
      <c r="G164" s="40"/>
      <c r="H164" s="40"/>
      <c r="I164" s="40"/>
      <c r="J164" s="40"/>
      <c r="K164" s="40"/>
      <c r="L164" s="143"/>
      <c r="M164" s="143"/>
    </row>
    <row r="165" spans="1:19" ht="13.5" customHeight="1">
      <c r="B165" s="11" t="s">
        <v>26</v>
      </c>
      <c r="C165" s="68" t="e">
        <f>SUM(C154:C163)</f>
        <v>#REF!</v>
      </c>
      <c r="D165" s="68" t="e">
        <f t="shared" ref="D165:K165" si="38">SUM(D154:D163)</f>
        <v>#REF!</v>
      </c>
      <c r="E165" s="68" t="e">
        <f t="shared" si="38"/>
        <v>#REF!</v>
      </c>
      <c r="F165" s="68" t="e">
        <f t="shared" si="38"/>
        <v>#REF!</v>
      </c>
      <c r="G165" s="68" t="e">
        <f t="shared" si="38"/>
        <v>#REF!</v>
      </c>
      <c r="H165" s="68" t="e">
        <f t="shared" si="38"/>
        <v>#REF!</v>
      </c>
      <c r="I165" s="68" t="e">
        <f t="shared" si="38"/>
        <v>#REF!</v>
      </c>
      <c r="J165" s="68" t="e">
        <f t="shared" si="38"/>
        <v>#REF!</v>
      </c>
      <c r="K165" s="68" t="e">
        <f t="shared" si="38"/>
        <v>#REF!</v>
      </c>
      <c r="L165" s="144" t="e">
        <f t="shared" ref="L165:Q165" si="39">SUM(L154:L164)</f>
        <v>#REF!</v>
      </c>
      <c r="M165" s="144" t="e">
        <f t="shared" si="39"/>
        <v>#REF!</v>
      </c>
      <c r="N165" s="144" t="e">
        <f t="shared" si="39"/>
        <v>#REF!</v>
      </c>
      <c r="O165" s="144">
        <f t="shared" si="39"/>
        <v>8.1999999999999993</v>
      </c>
      <c r="P165" s="144" t="e">
        <f t="shared" si="39"/>
        <v>#REF!</v>
      </c>
      <c r="Q165" s="144" t="e">
        <f t="shared" si="39"/>
        <v>#REF!</v>
      </c>
    </row>
    <row r="166" spans="1:19" ht="13.5" customHeight="1">
      <c r="B166" s="8" t="s">
        <v>167</v>
      </c>
      <c r="C166" s="40" t="e">
        <f>C152-C165</f>
        <v>#REF!</v>
      </c>
      <c r="D166" s="40" t="e">
        <f t="shared" ref="D166:K166" si="40">D152-D165</f>
        <v>#REF!</v>
      </c>
      <c r="E166" s="40" t="e">
        <f t="shared" si="40"/>
        <v>#REF!</v>
      </c>
      <c r="F166" s="40" t="e">
        <f t="shared" si="40"/>
        <v>#REF!</v>
      </c>
      <c r="G166" s="40" t="e">
        <f t="shared" si="40"/>
        <v>#REF!</v>
      </c>
      <c r="H166" s="40" t="e">
        <f t="shared" si="40"/>
        <v>#REF!</v>
      </c>
      <c r="I166" s="40" t="e">
        <f t="shared" si="40"/>
        <v>#REF!</v>
      </c>
      <c r="J166" s="40" t="e">
        <f t="shared" si="40"/>
        <v>#REF!</v>
      </c>
      <c r="K166" s="40" t="e">
        <f t="shared" si="40"/>
        <v>#REF!</v>
      </c>
      <c r="L166" s="40" t="e">
        <f t="shared" ref="L166:Q166" si="41">L152-L165/100</f>
        <v>#REF!</v>
      </c>
      <c r="M166" s="40" t="e">
        <f t="shared" si="41"/>
        <v>#REF!</v>
      </c>
      <c r="N166" s="40" t="e">
        <f t="shared" si="41"/>
        <v>#REF!</v>
      </c>
      <c r="O166" s="40" t="e">
        <f t="shared" si="41"/>
        <v>#REF!</v>
      </c>
      <c r="P166" s="40" t="e">
        <f t="shared" si="41"/>
        <v>#REF!</v>
      </c>
      <c r="Q166" s="40" t="e">
        <f t="shared" si="41"/>
        <v>#REF!</v>
      </c>
    </row>
    <row r="168" spans="1:19" ht="13.5" customHeight="1">
      <c r="C168" s="11">
        <v>2009</v>
      </c>
      <c r="D168" s="39">
        <v>2010</v>
      </c>
      <c r="E168" s="39" t="s">
        <v>112</v>
      </c>
      <c r="F168" s="39" t="s">
        <v>113</v>
      </c>
      <c r="G168" s="39" t="s">
        <v>114</v>
      </c>
      <c r="H168" s="39">
        <v>2011</v>
      </c>
      <c r="I168" s="39" t="s">
        <v>112</v>
      </c>
      <c r="J168" s="39" t="s">
        <v>113</v>
      </c>
      <c r="K168" s="39" t="s">
        <v>114</v>
      </c>
      <c r="L168" s="39">
        <v>2012</v>
      </c>
      <c r="M168" s="39" t="s">
        <v>112</v>
      </c>
      <c r="N168" s="39" t="s">
        <v>113</v>
      </c>
      <c r="O168" s="39" t="s">
        <v>114</v>
      </c>
      <c r="P168" s="39" t="s">
        <v>115</v>
      </c>
      <c r="Q168" s="39" t="s">
        <v>112</v>
      </c>
      <c r="R168" s="39" t="s">
        <v>113</v>
      </c>
    </row>
    <row r="169" spans="1:19" ht="13.5" customHeight="1">
      <c r="B169" s="8" t="s">
        <v>225</v>
      </c>
      <c r="C169" s="143"/>
      <c r="D169" s="145" t="e">
        <f t="shared" ref="D169:M169" si="42">D132*100</f>
        <v>#REF!</v>
      </c>
      <c r="E169" s="145" t="e">
        <f t="shared" si="42"/>
        <v>#REF!</v>
      </c>
      <c r="F169" s="145" t="e">
        <f t="shared" si="42"/>
        <v>#REF!</v>
      </c>
      <c r="G169" s="145" t="e">
        <f t="shared" si="42"/>
        <v>#REF!</v>
      </c>
      <c r="H169" s="145" t="e">
        <f t="shared" si="42"/>
        <v>#REF!</v>
      </c>
      <c r="I169" s="145" t="e">
        <f t="shared" si="42"/>
        <v>#REF!</v>
      </c>
      <c r="J169" s="145" t="e">
        <f t="shared" si="42"/>
        <v>#REF!</v>
      </c>
      <c r="K169" s="145" t="e">
        <f t="shared" si="42"/>
        <v>#REF!</v>
      </c>
      <c r="L169" s="145" t="e">
        <f t="shared" si="42"/>
        <v>#REF!</v>
      </c>
      <c r="M169" s="145" t="e">
        <f t="shared" si="42"/>
        <v>#REF!</v>
      </c>
      <c r="N169" s="145" t="e">
        <f>(N132*100)</f>
        <v>#REF!</v>
      </c>
      <c r="O169" s="145" t="e">
        <f>(O132*100)</f>
        <v>#REF!</v>
      </c>
      <c r="P169" s="145" t="e">
        <f>(P132*100)</f>
        <v>#REF!</v>
      </c>
      <c r="Q169" s="145" t="e">
        <f>(Q132*100)</f>
        <v>#REF!</v>
      </c>
    </row>
    <row r="170" spans="1:19" ht="13.5" customHeight="1">
      <c r="B170" s="8" t="s">
        <v>250</v>
      </c>
      <c r="D170" s="143" t="e">
        <f>D171-D169</f>
        <v>#REF!</v>
      </c>
      <c r="E170" s="143" t="e">
        <f t="shared" ref="E170:M170" si="43">E171-E169</f>
        <v>#REF!</v>
      </c>
      <c r="F170" s="143" t="e">
        <f t="shared" si="43"/>
        <v>#REF!</v>
      </c>
      <c r="G170" s="143" t="e">
        <f t="shared" si="43"/>
        <v>#REF!</v>
      </c>
      <c r="H170" s="143" t="e">
        <f t="shared" si="43"/>
        <v>#REF!</v>
      </c>
      <c r="I170" s="143" t="e">
        <f t="shared" si="43"/>
        <v>#REF!</v>
      </c>
      <c r="J170" s="143" t="e">
        <f t="shared" si="43"/>
        <v>#REF!</v>
      </c>
      <c r="K170" s="143" t="e">
        <f t="shared" si="43"/>
        <v>#REF!</v>
      </c>
      <c r="L170" s="143" t="e">
        <f t="shared" si="43"/>
        <v>#REF!</v>
      </c>
      <c r="M170" s="143" t="e">
        <f t="shared" si="43"/>
        <v>#REF!</v>
      </c>
      <c r="N170" s="143" t="e">
        <f>(N171-N169)-0.005</f>
        <v>#REF!</v>
      </c>
      <c r="O170" s="143" t="e">
        <f>(O171-O169)</f>
        <v>#REF!</v>
      </c>
      <c r="P170" s="143" t="e">
        <f>(P171-P169)</f>
        <v>#REF!</v>
      </c>
      <c r="Q170" s="143" t="e">
        <f>(Q171-Q169)</f>
        <v>#REF!</v>
      </c>
    </row>
    <row r="171" spans="1:19" ht="13.5" customHeight="1">
      <c r="B171" s="8" t="s">
        <v>158</v>
      </c>
      <c r="C171" s="143" t="e">
        <f t="shared" ref="C171:O171" si="44">C125*100</f>
        <v>#REF!</v>
      </c>
      <c r="D171" s="143" t="e">
        <f t="shared" si="44"/>
        <v>#REF!</v>
      </c>
      <c r="E171" s="143" t="e">
        <f t="shared" si="44"/>
        <v>#REF!</v>
      </c>
      <c r="F171" s="143" t="e">
        <f t="shared" si="44"/>
        <v>#REF!</v>
      </c>
      <c r="G171" s="143" t="e">
        <f t="shared" si="44"/>
        <v>#REF!</v>
      </c>
      <c r="H171" s="143" t="e">
        <f t="shared" si="44"/>
        <v>#REF!</v>
      </c>
      <c r="I171" s="143" t="e">
        <f t="shared" si="44"/>
        <v>#REF!</v>
      </c>
      <c r="J171" s="143" t="e">
        <f t="shared" si="44"/>
        <v>#REF!</v>
      </c>
      <c r="K171" s="143" t="e">
        <f t="shared" si="44"/>
        <v>#REF!</v>
      </c>
      <c r="L171" s="143" t="e">
        <f t="shared" si="44"/>
        <v>#REF!</v>
      </c>
      <c r="M171" s="143" t="e">
        <f t="shared" si="44"/>
        <v>#REF!</v>
      </c>
      <c r="N171" s="143" t="e">
        <f t="shared" si="44"/>
        <v>#REF!</v>
      </c>
      <c r="O171" s="143" t="e">
        <f t="shared" si="44"/>
        <v>#REF!</v>
      </c>
      <c r="P171" s="143" t="e">
        <f>P125*100</f>
        <v>#REF!</v>
      </c>
      <c r="Q171" s="143" t="e">
        <f>Q125*100</f>
        <v>#REF!</v>
      </c>
    </row>
    <row r="172" spans="1:19" ht="13.5" customHeight="1">
      <c r="C172" s="143"/>
      <c r="D172" s="143"/>
      <c r="E172" s="143"/>
    </row>
    <row r="173" spans="1:19" ht="13.5" customHeight="1">
      <c r="C173" s="143"/>
      <c r="D173" s="143"/>
      <c r="E173" s="143"/>
      <c r="F173" s="39" t="s">
        <v>277</v>
      </c>
      <c r="G173" s="39" t="s">
        <v>278</v>
      </c>
      <c r="H173" s="39" t="s">
        <v>279</v>
      </c>
      <c r="I173" s="39" t="s">
        <v>280</v>
      </c>
      <c r="J173" s="39" t="s">
        <v>281</v>
      </c>
      <c r="K173" s="39" t="s">
        <v>276</v>
      </c>
      <c r="N173" s="11">
        <v>2010</v>
      </c>
      <c r="O173" s="11">
        <v>2011</v>
      </c>
      <c r="P173" s="11">
        <v>2012</v>
      </c>
      <c r="Q173" s="11">
        <v>2013</v>
      </c>
      <c r="R173" s="39" t="s">
        <v>281</v>
      </c>
      <c r="S173" s="39" t="s">
        <v>276</v>
      </c>
    </row>
    <row r="174" spans="1:19" ht="13.5" customHeight="1">
      <c r="C174" s="39">
        <v>2010</v>
      </c>
      <c r="D174" s="39">
        <f>H168</f>
        <v>2011</v>
      </c>
      <c r="E174" s="39">
        <f>L168</f>
        <v>2012</v>
      </c>
      <c r="F174" s="39" t="s">
        <v>232</v>
      </c>
      <c r="G174" s="39" t="s">
        <v>236</v>
      </c>
      <c r="H174" s="39" t="s">
        <v>263</v>
      </c>
      <c r="I174" s="39" t="s">
        <v>282</v>
      </c>
      <c r="J174" s="39" t="s">
        <v>283</v>
      </c>
      <c r="K174" s="39" t="s">
        <v>284</v>
      </c>
      <c r="N174" s="11">
        <v>2010</v>
      </c>
      <c r="O174" s="11">
        <v>2011</v>
      </c>
      <c r="P174" s="11">
        <v>2012</v>
      </c>
      <c r="Q174" s="11">
        <v>2013</v>
      </c>
      <c r="R174" s="39" t="s">
        <v>283</v>
      </c>
      <c r="S174" s="39" t="s">
        <v>284</v>
      </c>
    </row>
    <row r="175" spans="1:19" ht="13.5" customHeight="1">
      <c r="A175" s="8" t="s">
        <v>288</v>
      </c>
      <c r="B175" s="8" t="s">
        <v>251</v>
      </c>
      <c r="C175" s="143" t="e">
        <f>D169</f>
        <v>#REF!</v>
      </c>
      <c r="D175" s="143" t="e">
        <f>H169</f>
        <v>#REF!</v>
      </c>
      <c r="E175" s="143" t="e">
        <f>L169</f>
        <v>#REF!</v>
      </c>
      <c r="F175" s="143" t="e">
        <f t="shared" ref="F175:G177" si="45">M169</f>
        <v>#REF!</v>
      </c>
      <c r="G175" s="143" t="e">
        <f t="shared" si="45"/>
        <v>#REF!</v>
      </c>
      <c r="H175" s="143">
        <f>SUM(O154:O158)</f>
        <v>5.8</v>
      </c>
      <c r="I175" s="143" t="e">
        <f>SUM(P154:P158)</f>
        <v>#REF!</v>
      </c>
      <c r="J175" s="143" t="e">
        <f>SUM(Q154:Q158)</f>
        <v>#REF!</v>
      </c>
      <c r="K175" s="143">
        <f>SUM(R154:R158)</f>
        <v>0</v>
      </c>
      <c r="N175" s="143" t="e">
        <f t="shared" ref="N175:P177" si="46">+C175</f>
        <v>#REF!</v>
      </c>
      <c r="O175" s="143" t="e">
        <f t="shared" si="46"/>
        <v>#REF!</v>
      </c>
      <c r="P175" s="143" t="e">
        <f t="shared" si="46"/>
        <v>#REF!</v>
      </c>
      <c r="Q175" s="143" t="e">
        <f t="shared" ref="Q175:S177" si="47">+I175</f>
        <v>#REF!</v>
      </c>
      <c r="R175" s="143" t="e">
        <f t="shared" si="47"/>
        <v>#REF!</v>
      </c>
      <c r="S175" s="8">
        <f t="shared" si="47"/>
        <v>0</v>
      </c>
    </row>
    <row r="176" spans="1:19" ht="13.5" customHeight="1">
      <c r="A176" s="8" t="s">
        <v>289</v>
      </c>
      <c r="B176" s="8" t="s">
        <v>250</v>
      </c>
      <c r="C176" s="143" t="e">
        <f>D170</f>
        <v>#REF!</v>
      </c>
      <c r="D176" s="143" t="e">
        <f>H170</f>
        <v>#REF!</v>
      </c>
      <c r="E176" s="143" t="e">
        <f>L170</f>
        <v>#REF!</v>
      </c>
      <c r="F176" s="143" t="e">
        <f t="shared" si="45"/>
        <v>#REF!</v>
      </c>
      <c r="G176" s="143" t="e">
        <f t="shared" si="45"/>
        <v>#REF!</v>
      </c>
      <c r="H176" s="143">
        <f>SUM(O159:O163)</f>
        <v>2.4000000000000004</v>
      </c>
      <c r="I176" s="143" t="e">
        <f>SUM(P159:P163)</f>
        <v>#REF!</v>
      </c>
      <c r="J176" s="143" t="e">
        <f>SUM(Q159:Q163)</f>
        <v>#REF!</v>
      </c>
      <c r="K176" s="143">
        <f>SUM(R159:R163)</f>
        <v>0</v>
      </c>
      <c r="N176" s="143" t="e">
        <f t="shared" si="46"/>
        <v>#REF!</v>
      </c>
      <c r="O176" s="143" t="e">
        <f t="shared" si="46"/>
        <v>#REF!</v>
      </c>
      <c r="P176" s="143" t="e">
        <f t="shared" si="46"/>
        <v>#REF!</v>
      </c>
      <c r="Q176" s="143" t="e">
        <f t="shared" si="47"/>
        <v>#REF!</v>
      </c>
      <c r="R176" s="143" t="e">
        <f t="shared" si="47"/>
        <v>#REF!</v>
      </c>
      <c r="S176" s="8">
        <f t="shared" si="47"/>
        <v>0</v>
      </c>
    </row>
    <row r="177" spans="2:19" ht="13.5" customHeight="1">
      <c r="B177" s="8" t="s">
        <v>158</v>
      </c>
      <c r="C177" s="143" t="e">
        <f>D171</f>
        <v>#REF!</v>
      </c>
      <c r="D177" s="143" t="e">
        <f>H171</f>
        <v>#REF!</v>
      </c>
      <c r="E177" s="143" t="e">
        <f>L171</f>
        <v>#REF!</v>
      </c>
      <c r="F177" s="143" t="e">
        <f t="shared" si="45"/>
        <v>#REF!</v>
      </c>
      <c r="G177" s="143" t="e">
        <f t="shared" si="45"/>
        <v>#REF!</v>
      </c>
      <c r="H177" s="143">
        <f>SUM(H175:H176)</f>
        <v>8.1999999999999993</v>
      </c>
      <c r="I177" s="143" t="e">
        <f>SUM(I175:I176)</f>
        <v>#REF!</v>
      </c>
      <c r="J177" s="143" t="e">
        <f>SUM(J175:J176)</f>
        <v>#REF!</v>
      </c>
      <c r="K177" s="143">
        <f>SUM(K175:K176)</f>
        <v>0</v>
      </c>
      <c r="N177" s="143" t="e">
        <f t="shared" si="46"/>
        <v>#REF!</v>
      </c>
      <c r="O177" s="143" t="e">
        <f t="shared" si="46"/>
        <v>#REF!</v>
      </c>
      <c r="P177" s="143" t="e">
        <f t="shared" si="46"/>
        <v>#REF!</v>
      </c>
      <c r="Q177" s="42" t="e">
        <f t="shared" si="47"/>
        <v>#REF!</v>
      </c>
      <c r="R177" s="143" t="e">
        <f t="shared" si="47"/>
        <v>#REF!</v>
      </c>
      <c r="S177" s="8">
        <f t="shared" si="47"/>
        <v>0</v>
      </c>
    </row>
    <row r="194" spans="2:19" ht="13.5" customHeight="1">
      <c r="C194" s="278" t="s">
        <v>158</v>
      </c>
      <c r="D194" s="278"/>
      <c r="E194" s="278"/>
      <c r="F194" s="278"/>
      <c r="G194" s="278"/>
      <c r="H194" s="278" t="s">
        <v>183</v>
      </c>
      <c r="I194" s="278"/>
      <c r="J194" s="278"/>
      <c r="K194" s="278"/>
      <c r="M194" s="278" t="s">
        <v>197</v>
      </c>
      <c r="N194" s="278"/>
    </row>
    <row r="195" spans="2:19" ht="12.75" customHeight="1">
      <c r="B195" s="90"/>
      <c r="C195" s="276" t="s">
        <v>147</v>
      </c>
      <c r="D195" s="277"/>
      <c r="E195" s="276" t="s">
        <v>215</v>
      </c>
      <c r="F195" s="277"/>
      <c r="G195" s="93" t="s">
        <v>175</v>
      </c>
      <c r="H195" s="94" t="s">
        <v>177</v>
      </c>
      <c r="I195" s="99" t="s">
        <v>178</v>
      </c>
      <c r="J195" s="93" t="s">
        <v>189</v>
      </c>
      <c r="K195" s="106" t="s">
        <v>191</v>
      </c>
      <c r="L195" s="106" t="s">
        <v>193</v>
      </c>
      <c r="M195" s="94" t="s">
        <v>13</v>
      </c>
      <c r="N195" s="90"/>
      <c r="O195" s="90"/>
      <c r="P195" s="99" t="s">
        <v>184</v>
      </c>
      <c r="Q195" s="99" t="s">
        <v>198</v>
      </c>
    </row>
    <row r="196" spans="2:19" ht="12.75" customHeight="1">
      <c r="B196" s="91" t="s">
        <v>27</v>
      </c>
      <c r="C196" s="97" t="s">
        <v>210</v>
      </c>
      <c r="D196" s="98" t="s">
        <v>211</v>
      </c>
      <c r="E196" s="97" t="s">
        <v>210</v>
      </c>
      <c r="F196" s="98" t="s">
        <v>211</v>
      </c>
      <c r="G196" s="97" t="s">
        <v>176</v>
      </c>
      <c r="H196" s="98" t="s">
        <v>179</v>
      </c>
      <c r="I196" s="100" t="s">
        <v>174</v>
      </c>
      <c r="J196" s="97" t="s">
        <v>190</v>
      </c>
      <c r="K196" s="101" t="s">
        <v>192</v>
      </c>
      <c r="L196" s="101" t="s">
        <v>12</v>
      </c>
      <c r="M196" s="98" t="s">
        <v>194</v>
      </c>
      <c r="N196" s="100" t="s">
        <v>26</v>
      </c>
      <c r="O196" s="100" t="s">
        <v>26</v>
      </c>
      <c r="P196" s="100" t="s">
        <v>185</v>
      </c>
      <c r="Q196" s="100" t="s">
        <v>199</v>
      </c>
    </row>
    <row r="197" spans="2:19" ht="12.75" customHeight="1">
      <c r="B197" s="90" t="s">
        <v>28</v>
      </c>
      <c r="C197" s="146">
        <v>23201</v>
      </c>
      <c r="D197" s="147">
        <v>452</v>
      </c>
      <c r="E197" s="148">
        <v>-13977</v>
      </c>
      <c r="F197" s="149">
        <v>-130</v>
      </c>
      <c r="G197" s="146">
        <f>SUM(C197:F197)</f>
        <v>9546</v>
      </c>
      <c r="H197" s="150">
        <v>15449.727809795853</v>
      </c>
      <c r="I197" s="151">
        <f>G197+H197</f>
        <v>24995.727809795855</v>
      </c>
      <c r="J197" s="152">
        <v>24996.589544395662</v>
      </c>
      <c r="K197" s="153">
        <v>0</v>
      </c>
      <c r="L197" s="153">
        <v>0</v>
      </c>
      <c r="M197" s="150">
        <v>0</v>
      </c>
      <c r="N197" s="151">
        <f>SUM(J197:M197)</f>
        <v>24996.589544395662</v>
      </c>
      <c r="O197" s="154">
        <f>MIN(SUM($J197:$M197),$I197)</f>
        <v>24995.727809795855</v>
      </c>
      <c r="P197" s="155">
        <f>O197/I197</f>
        <v>1</v>
      </c>
      <c r="Q197" s="155">
        <f>(I197-O197)/I197</f>
        <v>0</v>
      </c>
      <c r="R197" s="9">
        <f>N197-O197</f>
        <v>0.86173459980636835</v>
      </c>
      <c r="S197" s="9"/>
    </row>
    <row r="198" spans="2:19" ht="12.75" customHeight="1">
      <c r="B198" s="156" t="s">
        <v>181</v>
      </c>
      <c r="C198" s="157">
        <v>3522</v>
      </c>
      <c r="D198" s="149">
        <v>82</v>
      </c>
      <c r="E198" s="9">
        <v>-1825</v>
      </c>
      <c r="F198" s="149">
        <v>-25</v>
      </c>
      <c r="G198" s="157">
        <f>SUM(C198:F198)</f>
        <v>1754</v>
      </c>
      <c r="H198" s="161">
        <v>719.65300416155696</v>
      </c>
      <c r="I198" s="159">
        <f t="shared" ref="I198:I207" si="48">G198+H198</f>
        <v>2473.653004161557</v>
      </c>
      <c r="J198" s="160">
        <v>2278.9596883918998</v>
      </c>
      <c r="K198" s="161">
        <v>0</v>
      </c>
      <c r="L198" s="161">
        <v>20.881592999999999</v>
      </c>
      <c r="M198" s="158">
        <v>60.00139282</v>
      </c>
      <c r="N198" s="159">
        <f t="shared" ref="N198:N207" si="49">SUM(J198:M198)</f>
        <v>2359.8426742119</v>
      </c>
      <c r="O198" s="162">
        <f>MIN(SUM($J198:$M198),$I198)</f>
        <v>2359.8426742119</v>
      </c>
      <c r="P198" s="163">
        <f>O198/I198</f>
        <v>0.95399098832447882</v>
      </c>
      <c r="Q198" s="163">
        <f>(I198-O198)/I198</f>
        <v>4.6009011675521128E-2</v>
      </c>
      <c r="R198" s="9">
        <f t="shared" ref="R198:R207" si="50">N198-O198</f>
        <v>0</v>
      </c>
      <c r="S198" s="9"/>
    </row>
    <row r="199" spans="2:19" ht="12.75" customHeight="1">
      <c r="B199" s="156" t="s">
        <v>171</v>
      </c>
      <c r="C199" s="157">
        <v>2011</v>
      </c>
      <c r="D199" s="149">
        <v>1618</v>
      </c>
      <c r="E199" s="9">
        <v>-700</v>
      </c>
      <c r="F199" s="149">
        <v>-461</v>
      </c>
      <c r="G199" s="157">
        <f t="shared" ref="G199:G206" si="51">SUM(C199:F199)</f>
        <v>2468</v>
      </c>
      <c r="H199" s="161">
        <v>311.07503647415405</v>
      </c>
      <c r="I199" s="159">
        <f t="shared" si="48"/>
        <v>2779.0750364741539</v>
      </c>
      <c r="J199" s="160">
        <v>230.97992288</v>
      </c>
      <c r="K199" s="161">
        <v>2126.4124887523999</v>
      </c>
      <c r="L199" s="161">
        <v>0.10735730239999999</v>
      </c>
      <c r="M199" s="158">
        <v>5.4558210000000003</v>
      </c>
      <c r="N199" s="159">
        <f t="shared" si="49"/>
        <v>2362.9555899347997</v>
      </c>
      <c r="O199" s="162">
        <f t="shared" ref="O199:O207" si="52">MIN(SUM($J199:$M199),$I199)</f>
        <v>2362.9555899347997</v>
      </c>
      <c r="P199" s="163">
        <f t="shared" ref="P199:P207" si="53">O199/I199</f>
        <v>0.85026692655722969</v>
      </c>
      <c r="Q199" s="163">
        <f t="shared" ref="Q199:Q207" si="54">(I199-O199)/I199</f>
        <v>0.14973307344277034</v>
      </c>
      <c r="R199" s="9">
        <f t="shared" si="50"/>
        <v>0</v>
      </c>
      <c r="S199" s="9"/>
    </row>
    <row r="200" spans="2:19" ht="12.75" customHeight="1">
      <c r="B200" s="156" t="s">
        <v>180</v>
      </c>
      <c r="C200" s="157">
        <v>197</v>
      </c>
      <c r="D200" s="149">
        <v>0</v>
      </c>
      <c r="E200" s="9">
        <v>-171</v>
      </c>
      <c r="F200" s="149">
        <v>0</v>
      </c>
      <c r="G200" s="157">
        <f t="shared" si="51"/>
        <v>26</v>
      </c>
      <c r="H200" s="161">
        <v>14.023354232840093</v>
      </c>
      <c r="I200" s="159">
        <f t="shared" si="48"/>
        <v>40.023354232840092</v>
      </c>
      <c r="J200" s="160">
        <v>11.330732529999999</v>
      </c>
      <c r="K200" s="161">
        <v>0</v>
      </c>
      <c r="L200" s="161">
        <v>0</v>
      </c>
      <c r="M200" s="158">
        <v>6.438402</v>
      </c>
      <c r="N200" s="159">
        <f t="shared" si="49"/>
        <v>17.769134529999999</v>
      </c>
      <c r="O200" s="162">
        <f t="shared" si="52"/>
        <v>17.769134529999999</v>
      </c>
      <c r="P200" s="163">
        <f t="shared" si="53"/>
        <v>0.44396914927784864</v>
      </c>
      <c r="Q200" s="163">
        <f t="shared" si="54"/>
        <v>0.5560308507221513</v>
      </c>
      <c r="R200" s="9">
        <f t="shared" si="50"/>
        <v>0</v>
      </c>
      <c r="S200" s="9"/>
    </row>
    <row r="201" spans="2:19" ht="12.75" customHeight="1">
      <c r="B201" s="156" t="s">
        <v>212</v>
      </c>
      <c r="C201" s="157">
        <v>5807</v>
      </c>
      <c r="D201" s="149">
        <v>0</v>
      </c>
      <c r="E201" s="9">
        <v>-2182</v>
      </c>
      <c r="F201" s="149">
        <v>0</v>
      </c>
      <c r="G201" s="157">
        <f t="shared" si="51"/>
        <v>3625</v>
      </c>
      <c r="H201" s="161">
        <v>1158.2633654914091</v>
      </c>
      <c r="I201" s="159">
        <f t="shared" si="48"/>
        <v>4783.2633654914089</v>
      </c>
      <c r="J201" s="160">
        <v>559.53607655760004</v>
      </c>
      <c r="K201" s="161">
        <v>0</v>
      </c>
      <c r="L201" s="161">
        <v>372.9239644347</v>
      </c>
      <c r="M201" s="158">
        <v>315.50204430619999</v>
      </c>
      <c r="N201" s="159">
        <f t="shared" si="49"/>
        <v>1247.9620852984999</v>
      </c>
      <c r="O201" s="162">
        <f t="shared" si="52"/>
        <v>1247.9620852984999</v>
      </c>
      <c r="P201" s="163">
        <f t="shared" si="53"/>
        <v>0.26090181324780354</v>
      </c>
      <c r="Q201" s="163">
        <f t="shared" si="54"/>
        <v>0.73909818675219641</v>
      </c>
      <c r="R201" s="9">
        <f t="shared" si="50"/>
        <v>0</v>
      </c>
      <c r="S201" s="9"/>
    </row>
    <row r="202" spans="2:19" ht="12.75" customHeight="1">
      <c r="B202" s="156" t="s">
        <v>213</v>
      </c>
      <c r="C202" s="157">
        <v>5891</v>
      </c>
      <c r="D202" s="149">
        <v>0</v>
      </c>
      <c r="E202" s="9">
        <v>-4328</v>
      </c>
      <c r="F202" s="149">
        <v>0</v>
      </c>
      <c r="G202" s="157">
        <f t="shared" si="51"/>
        <v>1563</v>
      </c>
      <c r="H202" s="161">
        <v>90.497442335799292</v>
      </c>
      <c r="I202" s="159">
        <f t="shared" si="48"/>
        <v>1653.4974423357994</v>
      </c>
      <c r="J202" s="160">
        <v>33.971345929999998</v>
      </c>
      <c r="K202" s="161">
        <v>0</v>
      </c>
      <c r="L202" s="161">
        <v>70.85092225999999</v>
      </c>
      <c r="M202" s="158">
        <v>317.55113326999998</v>
      </c>
      <c r="N202" s="159">
        <f t="shared" si="49"/>
        <v>422.37340145999997</v>
      </c>
      <c r="O202" s="162">
        <f t="shared" si="52"/>
        <v>422.37340145999997</v>
      </c>
      <c r="P202" s="163">
        <f t="shared" si="53"/>
        <v>0.25544242805924011</v>
      </c>
      <c r="Q202" s="163">
        <f t="shared" si="54"/>
        <v>0.74455757194075989</v>
      </c>
      <c r="R202" s="9">
        <f t="shared" si="50"/>
        <v>0</v>
      </c>
      <c r="S202" s="9"/>
    </row>
    <row r="203" spans="2:19" ht="12.75" customHeight="1">
      <c r="B203" s="156" t="s">
        <v>214</v>
      </c>
      <c r="C203" s="157">
        <v>927</v>
      </c>
      <c r="D203" s="149">
        <v>33</v>
      </c>
      <c r="E203" s="9">
        <v>-502</v>
      </c>
      <c r="F203" s="149">
        <v>-17</v>
      </c>
      <c r="G203" s="157">
        <f t="shared" si="51"/>
        <v>441</v>
      </c>
      <c r="H203" s="161">
        <v>52.681768972801976</v>
      </c>
      <c r="I203" s="159">
        <f t="shared" si="48"/>
        <v>493.68176897280199</v>
      </c>
      <c r="J203" s="160">
        <v>394.63301573000001</v>
      </c>
      <c r="K203" s="161">
        <v>0</v>
      </c>
      <c r="L203" s="161">
        <v>3.7515049999999999</v>
      </c>
      <c r="M203" s="158">
        <v>94.312206971836304</v>
      </c>
      <c r="N203" s="159">
        <f t="shared" si="49"/>
        <v>492.69672770183632</v>
      </c>
      <c r="O203" s="162">
        <f t="shared" si="52"/>
        <v>492.69672770183632</v>
      </c>
      <c r="P203" s="163">
        <f t="shared" si="53"/>
        <v>0.99800470397556862</v>
      </c>
      <c r="Q203" s="163">
        <f t="shared" si="54"/>
        <v>1.9952960244313473E-3</v>
      </c>
      <c r="R203" s="9">
        <f t="shared" si="50"/>
        <v>0</v>
      </c>
      <c r="S203" s="9"/>
    </row>
    <row r="204" spans="2:19" ht="12.75" customHeight="1">
      <c r="B204" s="156" t="s">
        <v>172</v>
      </c>
      <c r="C204" s="157">
        <v>362</v>
      </c>
      <c r="D204" s="149">
        <v>0</v>
      </c>
      <c r="E204" s="9">
        <v>-66</v>
      </c>
      <c r="F204" s="149">
        <v>0</v>
      </c>
      <c r="G204" s="157">
        <f t="shared" si="51"/>
        <v>296</v>
      </c>
      <c r="H204" s="161">
        <v>16.018237730251617</v>
      </c>
      <c r="I204" s="159">
        <f t="shared" si="48"/>
        <v>312.0182377302516</v>
      </c>
      <c r="J204" s="160">
        <v>35.252533739999997</v>
      </c>
      <c r="K204" s="161">
        <v>0</v>
      </c>
      <c r="L204" s="161">
        <v>3.2703120000000001</v>
      </c>
      <c r="M204" s="158">
        <v>31.106198130000003</v>
      </c>
      <c r="N204" s="159">
        <f t="shared" si="49"/>
        <v>69.629043870000004</v>
      </c>
      <c r="O204" s="162">
        <f t="shared" si="52"/>
        <v>69.629043870000004</v>
      </c>
      <c r="P204" s="163">
        <f t="shared" si="53"/>
        <v>0.22315696792761275</v>
      </c>
      <c r="Q204" s="163">
        <f t="shared" si="54"/>
        <v>0.77684303207238725</v>
      </c>
      <c r="R204" s="9">
        <f t="shared" si="50"/>
        <v>0</v>
      </c>
      <c r="S204" s="9"/>
    </row>
    <row r="205" spans="2:19" ht="12.75" customHeight="1">
      <c r="B205" s="156" t="s">
        <v>173</v>
      </c>
      <c r="C205" s="157">
        <v>1895</v>
      </c>
      <c r="D205" s="149">
        <v>21</v>
      </c>
      <c r="E205" s="9">
        <v>-787</v>
      </c>
      <c r="F205" s="149">
        <v>-21</v>
      </c>
      <c r="G205" s="157">
        <f t="shared" si="51"/>
        <v>1108</v>
      </c>
      <c r="H205" s="161">
        <v>47.36221614415264</v>
      </c>
      <c r="I205" s="159">
        <f t="shared" si="48"/>
        <v>1155.3622161441526</v>
      </c>
      <c r="J205" s="160">
        <v>138.44418399</v>
      </c>
      <c r="K205" s="161">
        <v>9.9999999999999995E-7</v>
      </c>
      <c r="L205" s="161">
        <v>0</v>
      </c>
      <c r="M205" s="158">
        <v>9.3457947200000007</v>
      </c>
      <c r="N205" s="159">
        <f t="shared" si="49"/>
        <v>147.78997971000001</v>
      </c>
      <c r="O205" s="162">
        <f t="shared" si="52"/>
        <v>147.78997971000001</v>
      </c>
      <c r="P205" s="163">
        <f t="shared" si="53"/>
        <v>0.12791657684914329</v>
      </c>
      <c r="Q205" s="163">
        <f t="shared" si="54"/>
        <v>0.87208342315085674</v>
      </c>
      <c r="R205" s="9">
        <f t="shared" si="50"/>
        <v>0</v>
      </c>
      <c r="S205" s="9"/>
    </row>
    <row r="206" spans="2:19" ht="12.75" customHeight="1">
      <c r="B206" s="156" t="s">
        <v>202</v>
      </c>
      <c r="C206" s="157">
        <v>35</v>
      </c>
      <c r="D206" s="149">
        <v>0</v>
      </c>
      <c r="E206" s="9">
        <v>-8</v>
      </c>
      <c r="F206" s="149">
        <v>0</v>
      </c>
      <c r="G206" s="157">
        <f t="shared" si="51"/>
        <v>27</v>
      </c>
      <c r="H206" s="161">
        <v>52.690154418597039</v>
      </c>
      <c r="I206" s="159">
        <f t="shared" si="48"/>
        <v>79.690154418597047</v>
      </c>
      <c r="J206" s="160">
        <v>40.523394140000001</v>
      </c>
      <c r="K206" s="161">
        <v>0</v>
      </c>
      <c r="L206" s="161">
        <v>0</v>
      </c>
      <c r="M206" s="158">
        <v>0</v>
      </c>
      <c r="N206" s="159">
        <f t="shared" si="49"/>
        <v>40.523394140000001</v>
      </c>
      <c r="O206" s="162">
        <f t="shared" si="52"/>
        <v>40.523394140000001</v>
      </c>
      <c r="P206" s="163">
        <f t="shared" si="53"/>
        <v>0.50851192892836439</v>
      </c>
      <c r="Q206" s="163">
        <f t="shared" si="54"/>
        <v>0.49148807107163567</v>
      </c>
      <c r="R206" s="9">
        <f t="shared" si="50"/>
        <v>0</v>
      </c>
      <c r="S206" s="9"/>
    </row>
    <row r="207" spans="2:19" ht="12.75" customHeight="1">
      <c r="B207" s="164" t="s">
        <v>182</v>
      </c>
      <c r="C207" s="165">
        <v>847</v>
      </c>
      <c r="D207" s="166">
        <v>0</v>
      </c>
      <c r="E207" s="167">
        <v>-367</v>
      </c>
      <c r="F207" s="166">
        <v>0</v>
      </c>
      <c r="G207" s="165">
        <f>SUM(C207:F207)</f>
        <v>480</v>
      </c>
      <c r="H207" s="161">
        <v>54.253558242580922</v>
      </c>
      <c r="I207" s="169">
        <f t="shared" si="48"/>
        <v>534.25355824258088</v>
      </c>
      <c r="J207" s="170">
        <v>110.13931135</v>
      </c>
      <c r="K207" s="171">
        <v>0</v>
      </c>
      <c r="L207" s="171">
        <v>0</v>
      </c>
      <c r="M207" s="168">
        <v>1.005339</v>
      </c>
      <c r="N207" s="169">
        <f t="shared" si="49"/>
        <v>111.14465035000001</v>
      </c>
      <c r="O207" s="162">
        <f t="shared" si="52"/>
        <v>111.14465035000001</v>
      </c>
      <c r="P207" s="163">
        <f t="shared" si="53"/>
        <v>0.20803726738968042</v>
      </c>
      <c r="Q207" s="163">
        <f t="shared" si="54"/>
        <v>0.79196273261031958</v>
      </c>
      <c r="R207" s="9">
        <f t="shared" si="50"/>
        <v>0</v>
      </c>
      <c r="S207" s="9"/>
    </row>
    <row r="208" spans="2:19" ht="12.75" customHeight="1" thickBot="1">
      <c r="B208" s="92" t="s">
        <v>26</v>
      </c>
      <c r="C208" s="95">
        <f t="shared" ref="C208:I208" si="55">SUM(C197:C207)</f>
        <v>44695</v>
      </c>
      <c r="D208" s="103">
        <f t="shared" si="55"/>
        <v>2206</v>
      </c>
      <c r="E208" s="109">
        <f t="shared" si="55"/>
        <v>-24913</v>
      </c>
      <c r="F208" s="96">
        <f t="shared" si="55"/>
        <v>-654</v>
      </c>
      <c r="G208" s="102">
        <f t="shared" si="55"/>
        <v>21334</v>
      </c>
      <c r="H208" s="103">
        <f t="shared" si="55"/>
        <v>17966.245947999996</v>
      </c>
      <c r="I208" s="104">
        <f t="shared" si="55"/>
        <v>39300.245947999996</v>
      </c>
      <c r="J208" s="102">
        <f t="shared" ref="J208:O208" si="56">SUM(J197:J207)</f>
        <v>28830.359749635165</v>
      </c>
      <c r="K208" s="105">
        <f t="shared" si="56"/>
        <v>2126.4124897523998</v>
      </c>
      <c r="L208" s="105">
        <f t="shared" si="56"/>
        <v>471.78565399709998</v>
      </c>
      <c r="M208" s="103">
        <f t="shared" si="56"/>
        <v>840.71833221803638</v>
      </c>
      <c r="N208" s="104">
        <f t="shared" si="56"/>
        <v>32269.276225602705</v>
      </c>
      <c r="O208" s="104">
        <f t="shared" si="56"/>
        <v>32268.414491002899</v>
      </c>
      <c r="P208" s="172">
        <f>O208/I208</f>
        <v>0.82107411067347402</v>
      </c>
      <c r="Q208" s="173">
        <f>(I208-O208)/I208</f>
        <v>0.17892588932652595</v>
      </c>
    </row>
    <row r="209" spans="1:9" ht="13.5" customHeight="1" thickTop="1">
      <c r="G209" s="9">
        <f>+G208-N121</f>
        <v>-10221</v>
      </c>
      <c r="I209" s="9">
        <f>+I208-M136</f>
        <v>-18212.754052000004</v>
      </c>
    </row>
    <row r="211" spans="1:9" ht="13.5" customHeight="1">
      <c r="C211" s="114" t="s">
        <v>290</v>
      </c>
    </row>
    <row r="212" spans="1:9" ht="13.5" customHeight="1">
      <c r="A212" s="8" t="s">
        <v>291</v>
      </c>
      <c r="B212" s="8" t="s">
        <v>187</v>
      </c>
      <c r="C212" s="193" t="e">
        <f>(J208/$Q$131)*100</f>
        <v>#REF!</v>
      </c>
    </row>
    <row r="213" spans="1:9" ht="13.5" customHeight="1">
      <c r="A213" s="8" t="s">
        <v>292</v>
      </c>
      <c r="B213" s="8" t="s">
        <v>188</v>
      </c>
      <c r="C213" s="193" t="e">
        <f>(K208/$Q$131)*100</f>
        <v>#REF!</v>
      </c>
    </row>
    <row r="214" spans="1:9" ht="13.5" customHeight="1">
      <c r="A214" s="8" t="s">
        <v>293</v>
      </c>
      <c r="B214" s="8" t="s">
        <v>220</v>
      </c>
      <c r="C214" s="193" t="e">
        <f>(L208/$Q$131)*100</f>
        <v>#REF!</v>
      </c>
    </row>
    <row r="215" spans="1:9" ht="13.5" customHeight="1">
      <c r="A215" s="8" t="s">
        <v>294</v>
      </c>
      <c r="B215" s="8" t="s">
        <v>195</v>
      </c>
      <c r="C215" s="193" t="e">
        <f>(M208/$Q$131)*100</f>
        <v>#REF!</v>
      </c>
    </row>
    <row r="216" spans="1:9" ht="13.5" customHeight="1">
      <c r="A216" s="8" t="s">
        <v>295</v>
      </c>
      <c r="B216" s="8" t="s">
        <v>196</v>
      </c>
      <c r="C216" s="193" t="e">
        <f>(((I208-N208)/$Q$131)*100)</f>
        <v>#REF!</v>
      </c>
    </row>
    <row r="217" spans="1:9" ht="13.5" customHeight="1">
      <c r="C217" s="144" t="e">
        <f>SUM(C212:C216)</f>
        <v>#REF!</v>
      </c>
      <c r="D217" s="8">
        <f>4.7+1.6+0.8+0.6+0.8</f>
        <v>8.5</v>
      </c>
    </row>
    <row r="218" spans="1:9" ht="13.5" customHeight="1">
      <c r="C218" s="44"/>
      <c r="D218" s="144"/>
    </row>
    <row r="219" spans="1:9" ht="13.5" customHeight="1">
      <c r="A219" s="8" t="s">
        <v>296</v>
      </c>
      <c r="B219" s="32" t="s">
        <v>252</v>
      </c>
      <c r="C219" s="194" t="e">
        <f>SUM(Q154:Q158)</f>
        <v>#REF!</v>
      </c>
      <c r="D219" s="144"/>
    </row>
    <row r="220" spans="1:9" ht="13.5" customHeight="1">
      <c r="A220" s="8" t="s">
        <v>297</v>
      </c>
      <c r="B220" s="32" t="s">
        <v>253</v>
      </c>
      <c r="C220" s="194" t="e">
        <f>Q159</f>
        <v>#REF!</v>
      </c>
      <c r="D220" s="144"/>
    </row>
    <row r="221" spans="1:9" ht="13.5" customHeight="1">
      <c r="A221" s="8" t="s">
        <v>298</v>
      </c>
      <c r="B221" s="32" t="s">
        <v>259</v>
      </c>
      <c r="C221" s="194" t="e">
        <f>Q160</f>
        <v>#REF!</v>
      </c>
      <c r="D221" s="144"/>
    </row>
    <row r="222" spans="1:9" ht="13.5" customHeight="1">
      <c r="A222" s="8" t="s">
        <v>299</v>
      </c>
      <c r="B222" s="32" t="s">
        <v>219</v>
      </c>
      <c r="C222" s="194" t="e">
        <f>Q161</f>
        <v>#REF!</v>
      </c>
      <c r="D222" s="144"/>
    </row>
    <row r="223" spans="1:9" ht="13.5" customHeight="1">
      <c r="A223" s="8" t="s">
        <v>300</v>
      </c>
      <c r="B223" s="8" t="s">
        <v>301</v>
      </c>
      <c r="C223" s="194" t="e">
        <f>Q163</f>
        <v>#REF!</v>
      </c>
      <c r="D223" s="144"/>
    </row>
    <row r="224" spans="1:9" ht="13.5" customHeight="1">
      <c r="C224" s="144" t="e">
        <f>SUM(C219:C223)</f>
        <v>#REF!</v>
      </c>
      <c r="D224" s="144">
        <f>5.8+1.3+0.1+0+1</f>
        <v>8.1999999999999993</v>
      </c>
    </row>
    <row r="227" spans="2:19" ht="13.5" customHeight="1">
      <c r="B227" s="174">
        <v>41274</v>
      </c>
    </row>
    <row r="228" spans="2:19" ht="13.5" customHeight="1">
      <c r="B228" s="90"/>
      <c r="C228" s="276" t="s">
        <v>147</v>
      </c>
      <c r="D228" s="277"/>
      <c r="E228" s="276" t="s">
        <v>215</v>
      </c>
      <c r="F228" s="277"/>
      <c r="G228" s="93" t="s">
        <v>175</v>
      </c>
      <c r="H228" s="94" t="s">
        <v>177</v>
      </c>
      <c r="I228" s="99" t="s">
        <v>178</v>
      </c>
      <c r="J228" s="93" t="s">
        <v>189</v>
      </c>
      <c r="K228" s="106" t="s">
        <v>191</v>
      </c>
      <c r="L228" s="106" t="s">
        <v>193</v>
      </c>
      <c r="M228" s="94" t="s">
        <v>13</v>
      </c>
      <c r="N228" s="90"/>
      <c r="O228" s="90"/>
      <c r="P228" s="99" t="s">
        <v>184</v>
      </c>
      <c r="Q228" s="99" t="s">
        <v>198</v>
      </c>
    </row>
    <row r="229" spans="2:19" ht="13.5" customHeight="1">
      <c r="B229" s="91" t="s">
        <v>27</v>
      </c>
      <c r="C229" s="97" t="s">
        <v>210</v>
      </c>
      <c r="D229" s="98" t="s">
        <v>211</v>
      </c>
      <c r="E229" s="97" t="s">
        <v>210</v>
      </c>
      <c r="F229" s="98" t="s">
        <v>211</v>
      </c>
      <c r="G229" s="97" t="s">
        <v>176</v>
      </c>
      <c r="H229" s="98" t="s">
        <v>179</v>
      </c>
      <c r="I229" s="100" t="s">
        <v>174</v>
      </c>
      <c r="J229" s="97" t="s">
        <v>190</v>
      </c>
      <c r="K229" s="101" t="s">
        <v>192</v>
      </c>
      <c r="L229" s="101" t="s">
        <v>12</v>
      </c>
      <c r="M229" s="98" t="s">
        <v>194</v>
      </c>
      <c r="N229" s="100" t="s">
        <v>26</v>
      </c>
      <c r="O229" s="100" t="s">
        <v>26</v>
      </c>
      <c r="P229" s="100" t="s">
        <v>185</v>
      </c>
      <c r="Q229" s="100" t="s">
        <v>199</v>
      </c>
    </row>
    <row r="230" spans="2:19" ht="13.5" customHeight="1">
      <c r="B230" s="90" t="s">
        <v>28</v>
      </c>
      <c r="C230" s="146">
        <v>19397</v>
      </c>
      <c r="D230" s="147">
        <v>18626</v>
      </c>
      <c r="E230" s="148">
        <v>-13143</v>
      </c>
      <c r="F230" s="149">
        <v>-5032</v>
      </c>
      <c r="G230" s="146">
        <f>SUM(C230:F230)</f>
        <v>19848</v>
      </c>
      <c r="H230" s="147">
        <v>10145.54577349691</v>
      </c>
      <c r="I230" s="151">
        <f>G230+H230</f>
        <v>29993.54577349691</v>
      </c>
      <c r="J230" s="146">
        <v>29544.473733805</v>
      </c>
      <c r="K230" s="148">
        <v>9.5481010000000008</v>
      </c>
      <c r="L230" s="148">
        <v>193.31694047849999</v>
      </c>
      <c r="M230" s="147">
        <v>15.32161011</v>
      </c>
      <c r="N230" s="151">
        <f>SUM(J230:M230)</f>
        <v>29762.660385393501</v>
      </c>
      <c r="O230" s="154">
        <f>MIN(SUM($J230:$M230),$I230)</f>
        <v>29762.660385393501</v>
      </c>
      <c r="P230" s="155">
        <f>O230/I230</f>
        <v>0.99230216427737516</v>
      </c>
      <c r="Q230" s="155">
        <f>(I230-O230)/I230</f>
        <v>7.6978357226248576E-3</v>
      </c>
      <c r="R230" s="9">
        <f>N230-O230</f>
        <v>0</v>
      </c>
      <c r="S230" s="9"/>
    </row>
    <row r="231" spans="2:19" ht="13.5" customHeight="1">
      <c r="B231" s="156" t="s">
        <v>181</v>
      </c>
      <c r="C231" s="157">
        <v>10091</v>
      </c>
      <c r="D231" s="149">
        <v>4139</v>
      </c>
      <c r="E231" s="9">
        <v>-4684</v>
      </c>
      <c r="F231" s="149">
        <v>-1586</v>
      </c>
      <c r="G231" s="157">
        <f>SUM(C231:F231)</f>
        <v>7960</v>
      </c>
      <c r="H231" s="149">
        <v>1662.9277165739932</v>
      </c>
      <c r="I231" s="159">
        <f t="shared" ref="I231:I240" si="57">G231+H231</f>
        <v>9622.9277165739932</v>
      </c>
      <c r="J231" s="157">
        <v>9217.5145901222932</v>
      </c>
      <c r="K231" s="9">
        <v>0</v>
      </c>
      <c r="L231" s="9">
        <v>405.41312645170001</v>
      </c>
      <c r="M231" s="149">
        <v>0</v>
      </c>
      <c r="N231" s="159">
        <f t="shared" ref="N231:N240" si="58">SUM(J231:M231)</f>
        <v>9622.9277165739932</v>
      </c>
      <c r="O231" s="162">
        <f>MIN(SUM($J231:$M231),$I231)</f>
        <v>9622.9277165739932</v>
      </c>
      <c r="P231" s="163">
        <f>O231/I231</f>
        <v>1</v>
      </c>
      <c r="Q231" s="163">
        <f>(I231-O231)/I231</f>
        <v>0</v>
      </c>
      <c r="R231" s="9">
        <f t="shared" ref="R231:R240" si="59">N231-O231</f>
        <v>0</v>
      </c>
      <c r="S231" s="9"/>
    </row>
    <row r="232" spans="2:19" ht="13.5" customHeight="1">
      <c r="B232" s="156" t="s">
        <v>171</v>
      </c>
      <c r="C232" s="157">
        <v>4343</v>
      </c>
      <c r="D232" s="149">
        <v>6913</v>
      </c>
      <c r="E232" s="9">
        <v>-2361</v>
      </c>
      <c r="F232" s="149">
        <v>-2648</v>
      </c>
      <c r="G232" s="157">
        <f t="shared" ref="G232:G239" si="60">SUM(C232:F232)</f>
        <v>6247</v>
      </c>
      <c r="H232" s="149">
        <v>5096.1204874016121</v>
      </c>
      <c r="I232" s="159">
        <f t="shared" si="57"/>
        <v>11343.120487401611</v>
      </c>
      <c r="J232" s="157">
        <v>613.48290530589998</v>
      </c>
      <c r="K232" s="9">
        <v>10079.699740087211</v>
      </c>
      <c r="L232" s="9">
        <v>649.93784200849996</v>
      </c>
      <c r="M232" s="149">
        <v>0</v>
      </c>
      <c r="N232" s="159">
        <f t="shared" si="58"/>
        <v>11343.120487401611</v>
      </c>
      <c r="O232" s="162">
        <f t="shared" ref="O232:O240" si="61">MIN(SUM($J232:$M232),$I232)</f>
        <v>11343.120487401611</v>
      </c>
      <c r="P232" s="163">
        <f t="shared" ref="P232:P240" si="62">O232/I232</f>
        <v>1</v>
      </c>
      <c r="Q232" s="163">
        <f t="shared" ref="Q232:Q240" si="63">(I232-O232)/I232</f>
        <v>0</v>
      </c>
      <c r="R232" s="9">
        <f t="shared" si="59"/>
        <v>0</v>
      </c>
      <c r="S232" s="9"/>
    </row>
    <row r="233" spans="2:19" ht="13.5" customHeight="1">
      <c r="B233" s="156" t="s">
        <v>180</v>
      </c>
      <c r="C233" s="157">
        <v>11192</v>
      </c>
      <c r="D233" s="149">
        <v>307</v>
      </c>
      <c r="E233" s="9">
        <v>-7561</v>
      </c>
      <c r="F233" s="149">
        <v>-187</v>
      </c>
      <c r="G233" s="157">
        <f t="shared" si="60"/>
        <v>3751</v>
      </c>
      <c r="H233" s="149">
        <v>25.79982222528956</v>
      </c>
      <c r="I233" s="159">
        <f t="shared" si="57"/>
        <v>3776.7998222252895</v>
      </c>
      <c r="J233" s="157">
        <v>67.387969686600002</v>
      </c>
      <c r="K233" s="9">
        <v>0</v>
      </c>
      <c r="L233" s="9">
        <v>0</v>
      </c>
      <c r="M233" s="149">
        <v>32.716023499999999</v>
      </c>
      <c r="N233" s="159">
        <f t="shared" si="58"/>
        <v>100.10399318660001</v>
      </c>
      <c r="O233" s="162">
        <f t="shared" si="61"/>
        <v>100.10399318660001</v>
      </c>
      <c r="P233" s="163">
        <f t="shared" si="62"/>
        <v>2.6504977202529829E-2</v>
      </c>
      <c r="Q233" s="163">
        <f t="shared" si="63"/>
        <v>0.97349502279747024</v>
      </c>
      <c r="R233" s="9">
        <f t="shared" si="59"/>
        <v>0</v>
      </c>
      <c r="S233" s="9"/>
    </row>
    <row r="234" spans="2:19" ht="13.5" customHeight="1">
      <c r="B234" s="156" t="s">
        <v>212</v>
      </c>
      <c r="C234" s="157">
        <v>8399</v>
      </c>
      <c r="D234" s="149">
        <v>5638</v>
      </c>
      <c r="E234" s="9">
        <v>-5295</v>
      </c>
      <c r="F234" s="149">
        <v>-2639</v>
      </c>
      <c r="G234" s="157">
        <f t="shared" si="60"/>
        <v>6103</v>
      </c>
      <c r="H234" s="149">
        <v>1530.7660229900159</v>
      </c>
      <c r="I234" s="159">
        <f t="shared" si="57"/>
        <v>7633.7660229900157</v>
      </c>
      <c r="J234" s="157">
        <v>2773.2637027925998</v>
      </c>
      <c r="K234" s="9">
        <v>0</v>
      </c>
      <c r="L234" s="9">
        <v>784.30535740020002</v>
      </c>
      <c r="M234" s="149">
        <v>771.87028978000001</v>
      </c>
      <c r="N234" s="159">
        <f t="shared" si="58"/>
        <v>4329.4393499728003</v>
      </c>
      <c r="O234" s="162">
        <f t="shared" si="61"/>
        <v>4329.4393499728003</v>
      </c>
      <c r="P234" s="163">
        <f t="shared" si="62"/>
        <v>0.56714331261059958</v>
      </c>
      <c r="Q234" s="163">
        <f t="shared" si="63"/>
        <v>0.43285668738940036</v>
      </c>
      <c r="R234" s="9">
        <f t="shared" si="59"/>
        <v>0</v>
      </c>
      <c r="S234" s="9"/>
    </row>
    <row r="235" spans="2:19" ht="13.5" customHeight="1">
      <c r="B235" s="156" t="s">
        <v>213</v>
      </c>
      <c r="C235" s="157">
        <v>8363</v>
      </c>
      <c r="D235" s="149">
        <v>1492</v>
      </c>
      <c r="E235" s="9">
        <v>-6405</v>
      </c>
      <c r="F235" s="149">
        <v>-1142</v>
      </c>
      <c r="G235" s="157">
        <f t="shared" si="60"/>
        <v>2308</v>
      </c>
      <c r="H235" s="149">
        <v>1563.9269717708335</v>
      </c>
      <c r="I235" s="159">
        <f t="shared" si="57"/>
        <v>3871.9269717708335</v>
      </c>
      <c r="J235" s="157">
        <v>347.59549513590002</v>
      </c>
      <c r="K235" s="9">
        <v>0</v>
      </c>
      <c r="L235" s="9">
        <v>2921.7577275395001</v>
      </c>
      <c r="M235" s="149">
        <v>294.56091765999997</v>
      </c>
      <c r="N235" s="159">
        <f t="shared" si="58"/>
        <v>3563.9141403354001</v>
      </c>
      <c r="O235" s="162">
        <f t="shared" si="61"/>
        <v>3563.9141403354001</v>
      </c>
      <c r="P235" s="163">
        <f t="shared" si="62"/>
        <v>0.92044973118525453</v>
      </c>
      <c r="Q235" s="163">
        <f t="shared" si="63"/>
        <v>7.9550268814745501E-2</v>
      </c>
      <c r="R235" s="9">
        <f t="shared" si="59"/>
        <v>0</v>
      </c>
      <c r="S235" s="9"/>
    </row>
    <row r="236" spans="2:19" ht="13.5" customHeight="1">
      <c r="B236" s="156" t="s">
        <v>214</v>
      </c>
      <c r="C236" s="157">
        <v>1152</v>
      </c>
      <c r="D236" s="149">
        <v>999</v>
      </c>
      <c r="E236" s="9">
        <v>-604</v>
      </c>
      <c r="F236" s="149">
        <v>-483</v>
      </c>
      <c r="G236" s="157">
        <f t="shared" si="60"/>
        <v>1064</v>
      </c>
      <c r="H236" s="149">
        <v>51.347395880924303</v>
      </c>
      <c r="I236" s="159">
        <f t="shared" si="57"/>
        <v>1115.3473958809243</v>
      </c>
      <c r="J236" s="157">
        <v>391.64802050729998</v>
      </c>
      <c r="K236" s="9">
        <v>0</v>
      </c>
      <c r="L236" s="9">
        <v>1.9663090000000001</v>
      </c>
      <c r="M236" s="149">
        <v>148.6667660178</v>
      </c>
      <c r="N236" s="159">
        <f t="shared" si="58"/>
        <v>542.2810955251</v>
      </c>
      <c r="O236" s="162">
        <f t="shared" si="61"/>
        <v>542.2810955251</v>
      </c>
      <c r="P236" s="163">
        <f t="shared" si="62"/>
        <v>0.48619927524625206</v>
      </c>
      <c r="Q236" s="163">
        <f t="shared" si="63"/>
        <v>0.51380072475374794</v>
      </c>
      <c r="R236" s="9">
        <f t="shared" si="59"/>
        <v>0</v>
      </c>
      <c r="S236" s="9"/>
    </row>
    <row r="237" spans="2:19" ht="13.5" customHeight="1">
      <c r="B237" s="156" t="s">
        <v>172</v>
      </c>
      <c r="C237" s="157">
        <v>40</v>
      </c>
      <c r="D237" s="149">
        <v>120</v>
      </c>
      <c r="E237" s="9">
        <v>-35</v>
      </c>
      <c r="F237" s="149">
        <v>-36</v>
      </c>
      <c r="G237" s="157">
        <f t="shared" si="60"/>
        <v>89</v>
      </c>
      <c r="H237" s="149">
        <v>1.5110680058185437</v>
      </c>
      <c r="I237" s="159">
        <f t="shared" si="57"/>
        <v>90.511068005818544</v>
      </c>
      <c r="J237" s="157">
        <v>86.671182709999997</v>
      </c>
      <c r="K237" s="9">
        <v>0</v>
      </c>
      <c r="L237" s="9">
        <v>3.8180000000000002E-3</v>
      </c>
      <c r="M237" s="149">
        <v>9.9999999999999995E-7</v>
      </c>
      <c r="N237" s="159">
        <f t="shared" si="58"/>
        <v>86.675001709999989</v>
      </c>
      <c r="O237" s="162">
        <f t="shared" si="61"/>
        <v>86.675001709999989</v>
      </c>
      <c r="P237" s="163">
        <f t="shared" si="62"/>
        <v>0.95761771040452259</v>
      </c>
      <c r="Q237" s="163">
        <f t="shared" si="63"/>
        <v>4.2382289595477442E-2</v>
      </c>
      <c r="R237" s="9">
        <f t="shared" si="59"/>
        <v>0</v>
      </c>
      <c r="S237" s="9"/>
    </row>
    <row r="238" spans="2:19" ht="13.5" customHeight="1">
      <c r="B238" s="156" t="s">
        <v>173</v>
      </c>
      <c r="C238" s="157">
        <v>1168</v>
      </c>
      <c r="D238" s="149">
        <v>1328</v>
      </c>
      <c r="E238" s="9">
        <v>-744</v>
      </c>
      <c r="F238" s="149">
        <v>-505</v>
      </c>
      <c r="G238" s="157">
        <f t="shared" si="60"/>
        <v>1247</v>
      </c>
      <c r="H238" s="149">
        <v>30.846385708113932</v>
      </c>
      <c r="I238" s="159">
        <f t="shared" si="57"/>
        <v>1277.846385708114</v>
      </c>
      <c r="J238" s="157">
        <v>766.46213925389998</v>
      </c>
      <c r="K238" s="9">
        <v>1.838854</v>
      </c>
      <c r="L238" s="9">
        <v>1.5015000000000001E-2</v>
      </c>
      <c r="M238" s="149">
        <v>0.5</v>
      </c>
      <c r="N238" s="159">
        <f t="shared" si="58"/>
        <v>768.81600825389989</v>
      </c>
      <c r="O238" s="162">
        <f t="shared" si="61"/>
        <v>768.81600825389989</v>
      </c>
      <c r="P238" s="163">
        <f t="shared" si="62"/>
        <v>0.60164978893598642</v>
      </c>
      <c r="Q238" s="163">
        <f t="shared" si="63"/>
        <v>0.39835021106401358</v>
      </c>
      <c r="R238" s="9">
        <f t="shared" si="59"/>
        <v>0</v>
      </c>
      <c r="S238" s="9"/>
    </row>
    <row r="239" spans="2:19" ht="13.5" customHeight="1">
      <c r="B239" s="156" t="s">
        <v>202</v>
      </c>
      <c r="C239" s="157">
        <v>38</v>
      </c>
      <c r="D239" s="149">
        <v>406</v>
      </c>
      <c r="E239" s="9">
        <v>-30</v>
      </c>
      <c r="F239" s="149">
        <v>-262</v>
      </c>
      <c r="G239" s="157">
        <f t="shared" si="60"/>
        <v>152</v>
      </c>
      <c r="H239" s="149">
        <v>179.20817409963485</v>
      </c>
      <c r="I239" s="159">
        <f t="shared" si="57"/>
        <v>331.20817409963485</v>
      </c>
      <c r="J239" s="157">
        <v>78.096490540000005</v>
      </c>
      <c r="K239" s="9">
        <v>0</v>
      </c>
      <c r="L239" s="9">
        <v>0</v>
      </c>
      <c r="M239" s="149">
        <v>0</v>
      </c>
      <c r="N239" s="159">
        <f t="shared" si="58"/>
        <v>78.096490540000005</v>
      </c>
      <c r="O239" s="162">
        <f t="shared" si="61"/>
        <v>78.096490540000005</v>
      </c>
      <c r="P239" s="163">
        <f t="shared" si="62"/>
        <v>0.23579276312337277</v>
      </c>
      <c r="Q239" s="163">
        <f t="shared" si="63"/>
        <v>0.76420723687662728</v>
      </c>
      <c r="R239" s="9">
        <f t="shared" si="59"/>
        <v>0</v>
      </c>
      <c r="S239" s="9"/>
    </row>
    <row r="240" spans="2:19" ht="13.5" customHeight="1">
      <c r="B240" s="164" t="s">
        <v>182</v>
      </c>
      <c r="C240" s="165">
        <v>895</v>
      </c>
      <c r="D240" s="166">
        <v>1391</v>
      </c>
      <c r="E240" s="167">
        <v>-636</v>
      </c>
      <c r="F240" s="166">
        <v>-422</v>
      </c>
      <c r="G240" s="165">
        <f>SUM(C240:F240)</f>
        <v>1228</v>
      </c>
      <c r="H240" s="166">
        <v>286.05490784685446</v>
      </c>
      <c r="I240" s="169">
        <f t="shared" si="57"/>
        <v>1514.0549078468543</v>
      </c>
      <c r="J240" s="165">
        <v>540.28152144850003</v>
      </c>
      <c r="K240" s="167">
        <v>0</v>
      </c>
      <c r="L240" s="167">
        <v>0</v>
      </c>
      <c r="M240" s="166">
        <v>0</v>
      </c>
      <c r="N240" s="169">
        <f t="shared" si="58"/>
        <v>540.28152144850003</v>
      </c>
      <c r="O240" s="162">
        <f t="shared" si="61"/>
        <v>540.28152144850003</v>
      </c>
      <c r="P240" s="163">
        <f t="shared" si="62"/>
        <v>0.35684407391594358</v>
      </c>
      <c r="Q240" s="163">
        <f t="shared" si="63"/>
        <v>0.64315592608405647</v>
      </c>
      <c r="R240" s="9">
        <f t="shared" si="59"/>
        <v>0</v>
      </c>
      <c r="S240" s="9"/>
    </row>
    <row r="241" spans="2:17" ht="13.5" customHeight="1" thickBot="1">
      <c r="B241" s="92" t="s">
        <v>26</v>
      </c>
      <c r="C241" s="95">
        <f t="shared" ref="C241:O241" si="64">SUM(C230:C240)</f>
        <v>65078</v>
      </c>
      <c r="D241" s="103">
        <f t="shared" si="64"/>
        <v>41359</v>
      </c>
      <c r="E241" s="109">
        <f t="shared" si="64"/>
        <v>-41498</v>
      </c>
      <c r="F241" s="96">
        <f t="shared" si="64"/>
        <v>-14942</v>
      </c>
      <c r="G241" s="102">
        <f t="shared" si="64"/>
        <v>49997</v>
      </c>
      <c r="H241" s="103">
        <f t="shared" si="64"/>
        <v>20574.054726000002</v>
      </c>
      <c r="I241" s="104">
        <f t="shared" si="64"/>
        <v>70571.054725999988</v>
      </c>
      <c r="J241" s="102">
        <f t="shared" si="64"/>
        <v>44426.877751307999</v>
      </c>
      <c r="K241" s="105">
        <f t="shared" si="64"/>
        <v>10091.086695087211</v>
      </c>
      <c r="L241" s="105">
        <f t="shared" si="64"/>
        <v>4956.7161358784006</v>
      </c>
      <c r="M241" s="103">
        <f t="shared" si="64"/>
        <v>1263.6356080677999</v>
      </c>
      <c r="N241" s="104">
        <f t="shared" si="64"/>
        <v>60738.316190341415</v>
      </c>
      <c r="O241" s="104">
        <f t="shared" si="64"/>
        <v>60738.316190341415</v>
      </c>
      <c r="P241" s="172">
        <f>O241/I241</f>
        <v>0.86066895877020289</v>
      </c>
      <c r="Q241" s="173">
        <f>(I241-O241)/I241</f>
        <v>0.13933104122979711</v>
      </c>
    </row>
    <row r="242" spans="2:17" ht="13.5" customHeight="1" thickTop="1"/>
    <row r="245" spans="2:17" ht="13.5" customHeight="1">
      <c r="B245" s="8" t="s">
        <v>187</v>
      </c>
      <c r="C245" s="9">
        <f>J241</f>
        <v>44426.877751307999</v>
      </c>
      <c r="D245" s="42" t="e">
        <f>(C245/$L$131)*100</f>
        <v>#REF!</v>
      </c>
    </row>
    <row r="246" spans="2:17" ht="13.5" customHeight="1">
      <c r="B246" s="8" t="s">
        <v>188</v>
      </c>
      <c r="C246" s="9">
        <f>K241</f>
        <v>10091.086695087211</v>
      </c>
      <c r="D246" s="42" t="e">
        <f>(C246/$L$131)*100</f>
        <v>#REF!</v>
      </c>
    </row>
    <row r="247" spans="2:17" ht="13.5" customHeight="1">
      <c r="B247" s="8" t="s">
        <v>220</v>
      </c>
      <c r="C247" s="9">
        <f>L241</f>
        <v>4956.7161358784006</v>
      </c>
      <c r="D247" s="42" t="e">
        <f>(C247/$L$131)*100</f>
        <v>#REF!</v>
      </c>
    </row>
    <row r="248" spans="2:17" ht="13.5" customHeight="1">
      <c r="B248" s="8" t="s">
        <v>195</v>
      </c>
      <c r="C248" s="9">
        <f>M241</f>
        <v>1263.6356080677999</v>
      </c>
      <c r="D248" s="42" t="e">
        <f>(C248/$L$131)*100</f>
        <v>#REF!</v>
      </c>
    </row>
    <row r="249" spans="2:17" ht="13.5" customHeight="1">
      <c r="B249" s="8" t="s">
        <v>196</v>
      </c>
      <c r="C249" s="9">
        <f>I241-N241</f>
        <v>9832.7385356585728</v>
      </c>
      <c r="D249" s="42" t="e">
        <f>((C249/$L$131)*100)+0.02</f>
        <v>#REF!</v>
      </c>
    </row>
    <row r="250" spans="2:17" ht="13.5" customHeight="1">
      <c r="C250" s="44">
        <f>SUM(C245:C249)</f>
        <v>70571.054725999988</v>
      </c>
      <c r="D250" s="144" t="e">
        <f>SUM(D245:D249)</f>
        <v>#REF!</v>
      </c>
    </row>
    <row r="252" spans="2:17" ht="13.5" customHeight="1">
      <c r="D252" s="8">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I77"/>
  <sheetViews>
    <sheetView zoomScaleNormal="100" zoomScaleSheetLayoutView="100" workbookViewId="0"/>
  </sheetViews>
  <sheetFormatPr defaultColWidth="9.1796875" defaultRowHeight="14.5"/>
  <cols>
    <col min="1" max="1" width="44.81640625" style="198" customWidth="1"/>
    <col min="2" max="6" width="9" style="198" customWidth="1"/>
    <col min="7" max="7" width="40.26953125" style="198" customWidth="1"/>
    <col min="8" max="8" width="9.26953125" style="198" bestFit="1" customWidth="1"/>
    <col min="9" max="9" width="11.7265625" style="198" bestFit="1" customWidth="1"/>
    <col min="10" max="16384" width="9.1796875" style="198"/>
  </cols>
  <sheetData>
    <row r="1" spans="1:7" ht="27.75" customHeight="1">
      <c r="A1" s="258" t="s">
        <v>325</v>
      </c>
      <c r="B1" s="261">
        <v>0</v>
      </c>
      <c r="C1" s="261">
        <v>4</v>
      </c>
      <c r="D1" s="261">
        <v>8</v>
      </c>
      <c r="E1" s="261">
        <v>12</v>
      </c>
      <c r="F1" s="261">
        <v>16</v>
      </c>
      <c r="G1" s="196"/>
    </row>
    <row r="2" spans="1:7">
      <c r="A2" s="259" t="s">
        <v>306</v>
      </c>
      <c r="B2" s="260">
        <v>2023</v>
      </c>
      <c r="C2" s="260">
        <v>2022</v>
      </c>
      <c r="D2" s="260">
        <v>2021</v>
      </c>
      <c r="E2" s="260">
        <v>2020</v>
      </c>
      <c r="F2" s="260">
        <v>2019</v>
      </c>
      <c r="G2" s="196"/>
    </row>
    <row r="3" spans="1:7">
      <c r="A3" s="202"/>
      <c r="B3" s="203"/>
      <c r="C3" s="203"/>
      <c r="D3" s="203"/>
      <c r="E3" s="203"/>
      <c r="F3" s="203"/>
      <c r="G3" s="196"/>
    </row>
    <row r="4" spans="1:7">
      <c r="A4" s="204" t="s">
        <v>116</v>
      </c>
      <c r="B4" s="205"/>
      <c r="C4" s="205"/>
      <c r="D4" s="205"/>
      <c r="E4" s="205"/>
      <c r="F4" s="205"/>
      <c r="G4" s="196"/>
    </row>
    <row r="5" spans="1:7">
      <c r="A5" s="206" t="s">
        <v>126</v>
      </c>
      <c r="B5" s="234">
        <v>0.1360213093180701</v>
      </c>
      <c r="C5" s="234">
        <v>0.14060536464878451</v>
      </c>
      <c r="D5" s="234">
        <v>0.14749285343906018</v>
      </c>
      <c r="E5" s="234">
        <v>6.5428515057636291E-2</v>
      </c>
      <c r="F5" s="234">
        <v>5.6405457184606524E-3</v>
      </c>
      <c r="G5" s="196"/>
    </row>
    <row r="6" spans="1:7">
      <c r="A6" s="206" t="s">
        <v>127</v>
      </c>
      <c r="B6" s="234">
        <v>1.7042519885257495E-2</v>
      </c>
      <c r="C6" s="234">
        <v>1.8362548492849181E-2</v>
      </c>
      <c r="D6" s="234">
        <v>2.295931671661311E-2</v>
      </c>
      <c r="E6" s="234">
        <v>1.0637542771128947E-2</v>
      </c>
      <c r="F6" s="234">
        <v>9.2976860250612787E-4</v>
      </c>
      <c r="G6" s="196"/>
    </row>
    <row r="7" spans="1:7">
      <c r="A7" s="206" t="s">
        <v>417</v>
      </c>
      <c r="B7" s="234">
        <v>2.8474252690544165E-2</v>
      </c>
      <c r="C7" s="234">
        <v>2.9596685767413089E-2</v>
      </c>
      <c r="D7" s="234">
        <v>3.726214213238159E-2</v>
      </c>
      <c r="E7" s="234">
        <v>1.7207791849338738E-2</v>
      </c>
      <c r="F7" s="234">
        <v>1.4331638812475197E-3</v>
      </c>
      <c r="G7" s="196"/>
    </row>
    <row r="8" spans="1:7">
      <c r="A8" s="206" t="s">
        <v>416</v>
      </c>
      <c r="B8" s="234">
        <v>7.100695543116195E-2</v>
      </c>
      <c r="C8" s="234">
        <v>6.659198479228047E-2</v>
      </c>
      <c r="D8" s="234">
        <v>7.581996245528283E-2</v>
      </c>
      <c r="E8" s="234">
        <v>7.0056648122530416E-2</v>
      </c>
      <c r="F8" s="234">
        <v>6.2535454520107683E-2</v>
      </c>
      <c r="G8" s="196"/>
    </row>
    <row r="9" spans="1:7">
      <c r="A9" s="206" t="s">
        <v>320</v>
      </c>
      <c r="B9" s="229">
        <v>17.8</v>
      </c>
      <c r="C9" s="229">
        <v>10.65</v>
      </c>
      <c r="D9" s="229">
        <v>17.96</v>
      </c>
      <c r="E9" s="229">
        <v>7.24</v>
      </c>
      <c r="F9" s="229">
        <v>0.61</v>
      </c>
      <c r="G9" s="196"/>
    </row>
    <row r="10" spans="1:7">
      <c r="A10" s="206"/>
      <c r="B10" s="224"/>
      <c r="C10" s="224"/>
      <c r="D10" s="224"/>
      <c r="E10" s="224"/>
      <c r="F10" s="224"/>
      <c r="G10" s="196"/>
    </row>
    <row r="11" spans="1:7">
      <c r="A11" s="204" t="s">
        <v>9</v>
      </c>
      <c r="B11" s="224"/>
      <c r="C11" s="224"/>
      <c r="D11" s="224"/>
      <c r="E11" s="224"/>
      <c r="F11" s="224"/>
      <c r="G11" s="196"/>
    </row>
    <row r="12" spans="1:7" s="195" customFormat="1">
      <c r="A12" s="206" t="s">
        <v>353</v>
      </c>
      <c r="B12" s="223">
        <v>3.0897723026552457E-2</v>
      </c>
      <c r="C12" s="223">
        <v>3.0937515377763083E-2</v>
      </c>
      <c r="D12" s="223">
        <v>2.7596882578629273E-2</v>
      </c>
      <c r="E12" s="223">
        <v>2.8727000356400547E-2</v>
      </c>
      <c r="F12" s="223">
        <v>2.8112805413094369E-2</v>
      </c>
      <c r="G12" s="196"/>
    </row>
    <row r="13" spans="1:7">
      <c r="A13" s="206" t="s">
        <v>321</v>
      </c>
      <c r="B13" s="223">
        <v>2.9589501537581348E-2</v>
      </c>
      <c r="C13" s="223">
        <v>2.9099321909288892E-2</v>
      </c>
      <c r="D13" s="223">
        <v>2.5725828128071504E-2</v>
      </c>
      <c r="E13" s="223">
        <v>2.6581486700042962E-2</v>
      </c>
      <c r="F13" s="223">
        <v>2.562526792925298E-2</v>
      </c>
      <c r="G13" s="196"/>
    </row>
    <row r="14" spans="1:7">
      <c r="A14" s="206" t="s">
        <v>389</v>
      </c>
      <c r="B14" s="223">
        <v>5.6681015455898785E-2</v>
      </c>
      <c r="C14" s="223">
        <v>5.4283763498161788E-2</v>
      </c>
      <c r="D14" s="223">
        <v>4.9062798484612459E-2</v>
      </c>
      <c r="E14" s="223">
        <v>5.0497438176374435E-2</v>
      </c>
      <c r="F14" s="223">
        <v>4.5930018873772967E-2</v>
      </c>
      <c r="G14" s="196"/>
    </row>
    <row r="15" spans="1:7">
      <c r="A15" s="208"/>
      <c r="B15" s="223"/>
      <c r="C15" s="223"/>
      <c r="D15" s="223"/>
      <c r="E15" s="223"/>
      <c r="F15" s="223"/>
      <c r="G15" s="196"/>
    </row>
    <row r="16" spans="1:7">
      <c r="A16" s="204" t="s">
        <v>117</v>
      </c>
      <c r="B16" s="223"/>
      <c r="C16" s="223"/>
      <c r="D16" s="223"/>
      <c r="E16" s="223"/>
      <c r="F16" s="223"/>
      <c r="G16" s="196"/>
    </row>
    <row r="17" spans="1:9">
      <c r="A17" s="206" t="s">
        <v>428</v>
      </c>
      <c r="B17" s="223">
        <v>0.41399999999999998</v>
      </c>
      <c r="C17" s="223">
        <v>0.42</v>
      </c>
      <c r="D17" s="223">
        <v>0.51566423532225281</v>
      </c>
      <c r="E17" s="223">
        <v>0.53282030040766493</v>
      </c>
      <c r="F17" s="223">
        <v>0.6225059671401757</v>
      </c>
      <c r="G17" s="196"/>
    </row>
    <row r="18" spans="1:9">
      <c r="A18" s="206" t="s">
        <v>432</v>
      </c>
      <c r="B18" s="223">
        <v>0.44785840046119568</v>
      </c>
      <c r="C18" s="223">
        <v>0.48807263125531258</v>
      </c>
      <c r="D18" s="223">
        <v>0.44439673679690855</v>
      </c>
      <c r="E18" s="223">
        <v>0.48146324166732329</v>
      </c>
      <c r="F18" s="223">
        <v>0.55966915288137009</v>
      </c>
      <c r="G18" s="255"/>
      <c r="H18" s="254"/>
      <c r="I18" s="256"/>
    </row>
    <row r="19" spans="1:9">
      <c r="A19" s="206" t="s">
        <v>129</v>
      </c>
      <c r="B19" s="223">
        <v>1.903369435372582E-2</v>
      </c>
      <c r="C19" s="223">
        <v>1.9497564375846745E-2</v>
      </c>
      <c r="D19" s="223">
        <v>2.0760870873400811E-2</v>
      </c>
      <c r="E19" s="223">
        <v>2.0851085321129406E-2</v>
      </c>
      <c r="F19" s="223">
        <v>2.2705794517383738E-2</v>
      </c>
      <c r="G19" s="255"/>
      <c r="H19" s="254"/>
      <c r="I19" s="256"/>
    </row>
    <row r="20" spans="1:9">
      <c r="A20" s="206" t="s">
        <v>367</v>
      </c>
      <c r="B20" s="225">
        <v>822</v>
      </c>
      <c r="C20" s="225">
        <v>781</v>
      </c>
      <c r="D20" s="225">
        <v>751</v>
      </c>
      <c r="E20" s="225">
        <v>776</v>
      </c>
      <c r="F20" s="225">
        <v>801</v>
      </c>
      <c r="G20" s="255"/>
      <c r="H20" s="255"/>
      <c r="I20" s="255"/>
    </row>
    <row r="21" spans="1:9">
      <c r="A21" s="206"/>
      <c r="B21" s="223"/>
      <c r="C21" s="223"/>
      <c r="D21" s="223"/>
      <c r="E21" s="223"/>
      <c r="F21" s="223"/>
      <c r="G21" s="255"/>
    </row>
    <row r="22" spans="1:9">
      <c r="A22" s="204" t="s">
        <v>119</v>
      </c>
      <c r="B22" s="223"/>
      <c r="C22" s="223"/>
      <c r="D22" s="223"/>
      <c r="E22" s="223"/>
      <c r="F22" s="223"/>
      <c r="G22" s="255"/>
    </row>
    <row r="23" spans="1:9">
      <c r="A23" s="206" t="s">
        <v>429</v>
      </c>
      <c r="B23" s="223">
        <v>1.7267122461983572E-2</v>
      </c>
      <c r="C23" s="223">
        <v>1.1985273978563178E-2</v>
      </c>
      <c r="D23" s="223">
        <v>1.896302009774993E-2</v>
      </c>
      <c r="E23" s="223">
        <v>2.6172517778485695E-2</v>
      </c>
      <c r="F23" s="223">
        <v>2.6684084042670017E-2</v>
      </c>
      <c r="G23" s="196"/>
    </row>
    <row r="24" spans="1:9">
      <c r="A24" s="206" t="s">
        <v>33</v>
      </c>
      <c r="B24" s="223">
        <v>0.59676719504585518</v>
      </c>
      <c r="C24" s="223">
        <v>0.60240759984416037</v>
      </c>
      <c r="D24" s="223">
        <v>0.62013870345080147</v>
      </c>
      <c r="E24" s="223">
        <v>0.63593517897921559</v>
      </c>
      <c r="F24" s="223">
        <v>0.66529710543464693</v>
      </c>
      <c r="G24" s="196"/>
    </row>
    <row r="25" spans="1:9">
      <c r="A25" s="206"/>
      <c r="B25" s="223"/>
      <c r="C25" s="223"/>
      <c r="D25" s="223"/>
      <c r="E25" s="223"/>
      <c r="F25" s="223"/>
      <c r="G25" s="196"/>
    </row>
    <row r="26" spans="1:9">
      <c r="A26" s="204" t="s">
        <v>122</v>
      </c>
      <c r="B26" s="223"/>
      <c r="C26" s="223"/>
      <c r="D26" s="223"/>
      <c r="E26" s="223"/>
      <c r="F26" s="223"/>
      <c r="G26" s="196"/>
    </row>
    <row r="27" spans="1:9">
      <c r="A27" s="206" t="s">
        <v>123</v>
      </c>
      <c r="B27" s="223">
        <v>0.13063161675641946</v>
      </c>
      <c r="C27" s="223">
        <v>0.12824429980984015</v>
      </c>
      <c r="D27" s="223">
        <v>0.14776800360110171</v>
      </c>
      <c r="E27" s="223">
        <v>0.16870809904613773</v>
      </c>
      <c r="F27" s="223">
        <v>0.17546251577152205</v>
      </c>
      <c r="G27" s="196"/>
    </row>
    <row r="28" spans="1:9">
      <c r="A28" s="208"/>
      <c r="B28" s="223"/>
      <c r="C28" s="223"/>
      <c r="D28" s="223"/>
      <c r="E28" s="223"/>
      <c r="F28" s="223"/>
      <c r="G28" s="196"/>
    </row>
    <row r="29" spans="1:9">
      <c r="A29" s="204" t="s">
        <v>118</v>
      </c>
      <c r="B29" s="223"/>
      <c r="C29" s="223"/>
      <c r="D29" s="223"/>
      <c r="E29" s="223"/>
      <c r="F29" s="223"/>
      <c r="G29" s="196"/>
    </row>
    <row r="30" spans="1:9">
      <c r="A30" s="206" t="s">
        <v>304</v>
      </c>
      <c r="B30" s="223">
        <v>1.9181738046749142</v>
      </c>
      <c r="C30" s="223">
        <v>1.5847739539357666</v>
      </c>
      <c r="D30" s="223">
        <v>2.0283092783505157</v>
      </c>
      <c r="E30" s="223">
        <v>1.8848926289476235</v>
      </c>
      <c r="F30" s="223">
        <v>1.8834367620407491</v>
      </c>
      <c r="G30" s="196"/>
    </row>
    <row r="31" spans="1:9">
      <c r="A31" s="206" t="s">
        <v>41</v>
      </c>
      <c r="B31" s="223">
        <v>1.454237993717753</v>
      </c>
      <c r="C31" s="223">
        <v>1.4360775840955518</v>
      </c>
      <c r="D31" s="223">
        <v>1.4283314720905114</v>
      </c>
      <c r="E31" s="223">
        <v>1.4477590671752072</v>
      </c>
      <c r="F31" s="223">
        <v>1.5701559697798408</v>
      </c>
      <c r="G31" s="196"/>
    </row>
    <row r="32" spans="1:9">
      <c r="A32" s="206" t="s">
        <v>239</v>
      </c>
      <c r="B32" s="223">
        <v>1.1602187432983058</v>
      </c>
      <c r="C32" s="223">
        <v>1.1542811979967194</v>
      </c>
      <c r="D32" s="223">
        <v>1.1184147093104859</v>
      </c>
      <c r="E32" s="223">
        <v>1.1772497290754789</v>
      </c>
      <c r="F32" s="223">
        <v>1.275239594575952</v>
      </c>
      <c r="G32" s="196"/>
    </row>
    <row r="33" spans="1:7">
      <c r="A33" s="206" t="s">
        <v>120</v>
      </c>
      <c r="B33" s="223">
        <v>0.65192540495019535</v>
      </c>
      <c r="C33" s="223">
        <v>0.6513869222450841</v>
      </c>
      <c r="D33" s="223">
        <v>0.64444516543230268</v>
      </c>
      <c r="E33" s="223">
        <v>0.64562807951713619</v>
      </c>
      <c r="F33" s="223">
        <v>0.6133523466090296</v>
      </c>
      <c r="G33" s="196"/>
    </row>
    <row r="34" spans="1:7">
      <c r="A34" s="206" t="s">
        <v>121</v>
      </c>
      <c r="B34" s="223">
        <v>0.19167861889285101</v>
      </c>
      <c r="C34" s="223">
        <v>0.18355872364864978</v>
      </c>
      <c r="D34" s="223">
        <v>0.19972314066243707</v>
      </c>
      <c r="E34" s="223">
        <v>0.1746496534584866</v>
      </c>
      <c r="F34" s="223">
        <v>0.18088618289825534</v>
      </c>
      <c r="G34" s="196"/>
    </row>
    <row r="35" spans="1:7">
      <c r="A35" s="209"/>
      <c r="B35" s="223"/>
      <c r="C35" s="223"/>
      <c r="D35" s="223"/>
      <c r="E35" s="223"/>
      <c r="F35" s="223"/>
      <c r="G35" s="196"/>
    </row>
    <row r="36" spans="1:7">
      <c r="A36" s="204" t="s">
        <v>424</v>
      </c>
      <c r="B36" s="226"/>
      <c r="C36" s="226"/>
      <c r="D36" s="226"/>
      <c r="E36" s="226"/>
      <c r="F36" s="226"/>
      <c r="G36" s="196"/>
    </row>
    <row r="37" spans="1:7">
      <c r="A37" s="206" t="s">
        <v>379</v>
      </c>
      <c r="B37" s="223">
        <v>0.19707895019780969</v>
      </c>
      <c r="C37" s="223">
        <v>0.18803916606279367</v>
      </c>
      <c r="D37" s="223">
        <v>0.19586086316472559</v>
      </c>
      <c r="E37" s="223">
        <v>0.22253655330735245</v>
      </c>
      <c r="F37" s="223">
        <v>0.21214257663093694</v>
      </c>
      <c r="G37" s="196"/>
    </row>
    <row r="38" spans="1:7">
      <c r="A38" s="206" t="s">
        <v>100</v>
      </c>
      <c r="B38" s="223">
        <v>0.21172411736952632</v>
      </c>
      <c r="C38" s="223">
        <v>0.20331469650001366</v>
      </c>
      <c r="D38" s="223">
        <v>0.21229496749986632</v>
      </c>
      <c r="E38" s="223">
        <v>0.2408680622267596</v>
      </c>
      <c r="F38" s="223">
        <v>0.21239405109099627</v>
      </c>
      <c r="G38" s="196"/>
    </row>
    <row r="39" spans="1:7">
      <c r="A39" s="206" t="s">
        <v>109</v>
      </c>
      <c r="B39" s="223">
        <v>2.9451789238756632E-2</v>
      </c>
      <c r="C39" s="223">
        <v>3.7088503646549975E-2</v>
      </c>
      <c r="D39" s="223">
        <v>2.5598473491635965E-2</v>
      </c>
      <c r="E39" s="223">
        <v>2.8903304550750797E-2</v>
      </c>
      <c r="F39" s="223">
        <v>2.790239387071991E-2</v>
      </c>
      <c r="G39" s="196"/>
    </row>
    <row r="40" spans="1:7">
      <c r="A40" s="206" t="s">
        <v>366</v>
      </c>
      <c r="B40" s="223">
        <v>0.24117590660828295</v>
      </c>
      <c r="C40" s="223">
        <v>0.24040320014656363</v>
      </c>
      <c r="D40" s="223">
        <v>0.23789344099150228</v>
      </c>
      <c r="E40" s="223">
        <v>0.2697713667775104</v>
      </c>
      <c r="F40" s="223">
        <v>0.24029644496171618</v>
      </c>
      <c r="G40" s="196"/>
    </row>
    <row r="41" spans="1:7">
      <c r="A41" s="206" t="s">
        <v>347</v>
      </c>
      <c r="B41" s="223">
        <v>0.12434008985518603</v>
      </c>
      <c r="C41" s="223">
        <v>0.11842611680225232</v>
      </c>
      <c r="D41" s="223">
        <v>0.12646726002016934</v>
      </c>
      <c r="E41" s="223">
        <v>0.15101247487412894</v>
      </c>
      <c r="F41" s="223">
        <v>0.14081577820753971</v>
      </c>
      <c r="G41" s="196"/>
    </row>
    <row r="42" spans="1:7">
      <c r="A42" s="206"/>
      <c r="B42" s="223"/>
      <c r="C42" s="223"/>
      <c r="D42" s="223"/>
      <c r="E42" s="223"/>
      <c r="F42" s="223"/>
      <c r="G42" s="196"/>
    </row>
    <row r="43" spans="1:7">
      <c r="A43" s="211" t="s">
        <v>431</v>
      </c>
      <c r="B43" s="209"/>
      <c r="C43" s="209"/>
      <c r="D43" s="209"/>
      <c r="E43" s="209"/>
      <c r="F43" s="209"/>
      <c r="G43" s="196"/>
    </row>
    <row r="44" spans="1:7">
      <c r="A44" s="211" t="s">
        <v>433</v>
      </c>
      <c r="B44" s="209"/>
      <c r="C44" s="209"/>
      <c r="D44" s="209"/>
      <c r="E44" s="209"/>
      <c r="F44" s="209"/>
      <c r="G44" s="196"/>
    </row>
    <row r="45" spans="1:7">
      <c r="A45" s="211"/>
      <c r="B45" s="209"/>
      <c r="C45" s="209"/>
      <c r="D45" s="209"/>
      <c r="E45" s="209"/>
      <c r="F45" s="209"/>
      <c r="G45" s="196"/>
    </row>
    <row r="46" spans="1:7">
      <c r="A46" s="196"/>
      <c r="B46" s="196"/>
      <c r="C46" s="196"/>
      <c r="D46" s="196"/>
      <c r="E46" s="196"/>
      <c r="F46" s="196"/>
      <c r="G46" s="196"/>
    </row>
    <row r="47" spans="1:7">
      <c r="A47" s="196"/>
      <c r="B47" s="196"/>
      <c r="C47" s="196"/>
      <c r="D47" s="196"/>
      <c r="E47" s="196"/>
      <c r="F47" s="196"/>
      <c r="G47" s="196"/>
    </row>
    <row r="48" spans="1:7">
      <c r="A48" s="266"/>
      <c r="B48" s="196"/>
      <c r="C48" s="196"/>
      <c r="D48" s="196"/>
      <c r="E48" s="196"/>
      <c r="F48" s="196"/>
      <c r="G48" s="196"/>
    </row>
    <row r="49" spans="1:7">
      <c r="A49" s="196"/>
      <c r="B49" s="196"/>
      <c r="C49" s="196"/>
      <c r="D49" s="196"/>
      <c r="E49" s="196"/>
      <c r="F49" s="196"/>
      <c r="G49" s="196"/>
    </row>
    <row r="50" spans="1:7">
      <c r="A50" s="196"/>
      <c r="B50" s="196"/>
      <c r="C50" s="196"/>
      <c r="D50" s="196"/>
      <c r="E50" s="196"/>
      <c r="F50" s="196"/>
      <c r="G50" s="196"/>
    </row>
    <row r="51" spans="1:7">
      <c r="A51" s="196"/>
      <c r="B51" s="196"/>
      <c r="C51" s="196"/>
      <c r="D51" s="196"/>
      <c r="E51" s="196"/>
      <c r="F51" s="196"/>
      <c r="G51" s="196"/>
    </row>
    <row r="52" spans="1:7">
      <c r="A52" s="196"/>
      <c r="B52" s="196"/>
      <c r="C52" s="196"/>
      <c r="D52" s="196"/>
      <c r="E52" s="196"/>
      <c r="F52" s="196"/>
    </row>
    <row r="53" spans="1:7">
      <c r="A53" s="196"/>
      <c r="B53" s="196"/>
      <c r="C53" s="196"/>
      <c r="D53" s="196"/>
      <c r="E53" s="196"/>
      <c r="F53" s="196"/>
    </row>
    <row r="54" spans="1:7">
      <c r="A54" s="196"/>
      <c r="B54" s="196"/>
      <c r="C54" s="196"/>
      <c r="D54" s="196"/>
      <c r="E54" s="196"/>
      <c r="F54" s="196"/>
    </row>
    <row r="55" spans="1:7">
      <c r="A55" s="196"/>
      <c r="B55" s="196"/>
      <c r="C55" s="196"/>
      <c r="D55" s="196"/>
      <c r="E55" s="196"/>
      <c r="F55" s="196"/>
    </row>
    <row r="56" spans="1:7">
      <c r="A56" s="196"/>
      <c r="B56" s="196"/>
      <c r="C56" s="196"/>
      <c r="D56" s="196"/>
      <c r="E56" s="196"/>
      <c r="F56" s="196"/>
    </row>
    <row r="57" spans="1:7">
      <c r="A57" s="196"/>
      <c r="B57" s="196"/>
      <c r="C57" s="196"/>
      <c r="D57" s="196"/>
      <c r="E57" s="196"/>
      <c r="F57" s="196"/>
    </row>
    <row r="58" spans="1:7">
      <c r="A58" s="196"/>
      <c r="B58" s="196"/>
      <c r="C58" s="196"/>
      <c r="D58" s="196"/>
      <c r="E58" s="196"/>
      <c r="F58" s="196"/>
    </row>
    <row r="59" spans="1:7">
      <c r="A59" s="196"/>
      <c r="B59" s="196"/>
      <c r="C59" s="196"/>
      <c r="D59" s="196"/>
      <c r="E59" s="196"/>
      <c r="F59" s="196"/>
    </row>
    <row r="60" spans="1:7">
      <c r="A60" s="196"/>
      <c r="B60" s="196"/>
      <c r="C60" s="196"/>
      <c r="D60" s="196"/>
      <c r="E60" s="196"/>
      <c r="F60" s="196"/>
    </row>
    <row r="61" spans="1:7">
      <c r="A61" s="196"/>
      <c r="B61" s="196"/>
      <c r="C61" s="196"/>
      <c r="D61" s="196"/>
      <c r="E61" s="196"/>
      <c r="F61" s="196"/>
    </row>
    <row r="62" spans="1:7">
      <c r="A62" s="196"/>
      <c r="B62" s="196"/>
      <c r="C62" s="196"/>
      <c r="D62" s="196"/>
      <c r="E62" s="196"/>
      <c r="F62" s="196"/>
    </row>
    <row r="63" spans="1:7">
      <c r="A63" s="196"/>
      <c r="B63" s="196"/>
      <c r="C63" s="196"/>
      <c r="D63" s="196"/>
      <c r="E63" s="196"/>
      <c r="F63" s="196"/>
    </row>
    <row r="64" spans="1:7">
      <c r="A64" s="196"/>
      <c r="B64" s="196"/>
      <c r="C64" s="196"/>
      <c r="D64" s="196"/>
      <c r="E64" s="196"/>
      <c r="F64" s="196"/>
    </row>
    <row r="65" spans="1:6">
      <c r="A65" s="196"/>
      <c r="B65" s="196"/>
      <c r="C65" s="196"/>
      <c r="D65" s="196"/>
      <c r="E65" s="196"/>
      <c r="F65" s="196"/>
    </row>
    <row r="66" spans="1:6">
      <c r="A66" s="196"/>
      <c r="B66" s="196"/>
      <c r="C66" s="196"/>
      <c r="D66" s="196"/>
      <c r="E66" s="196"/>
      <c r="F66" s="196"/>
    </row>
    <row r="67" spans="1:6">
      <c r="A67" s="196"/>
      <c r="B67" s="196"/>
      <c r="C67" s="196"/>
      <c r="D67" s="196"/>
      <c r="E67" s="196"/>
      <c r="F67" s="196"/>
    </row>
    <row r="68" spans="1:6">
      <c r="A68" s="196"/>
      <c r="B68" s="196"/>
      <c r="C68" s="196"/>
      <c r="D68" s="196"/>
      <c r="E68" s="196"/>
      <c r="F68" s="196"/>
    </row>
    <row r="69" spans="1:6">
      <c r="A69" s="196"/>
      <c r="B69" s="196"/>
      <c r="C69" s="196"/>
      <c r="D69" s="196"/>
      <c r="E69" s="196"/>
      <c r="F69" s="196"/>
    </row>
    <row r="70" spans="1:6">
      <c r="A70" s="196"/>
      <c r="B70" s="196"/>
      <c r="C70" s="196"/>
      <c r="D70" s="196"/>
      <c r="E70" s="196"/>
      <c r="F70" s="196"/>
    </row>
    <row r="71" spans="1:6">
      <c r="A71" s="196"/>
      <c r="B71" s="196"/>
      <c r="C71" s="196"/>
      <c r="D71" s="196"/>
      <c r="E71" s="196"/>
      <c r="F71" s="196"/>
    </row>
    <row r="72" spans="1:6">
      <c r="A72" s="196"/>
      <c r="B72" s="196"/>
      <c r="C72" s="196"/>
      <c r="D72" s="196"/>
      <c r="E72" s="196"/>
      <c r="F72" s="196"/>
    </row>
    <row r="73" spans="1:6">
      <c r="A73" s="196"/>
      <c r="B73" s="196"/>
      <c r="C73" s="196"/>
      <c r="D73" s="196"/>
      <c r="E73" s="196"/>
      <c r="F73" s="196"/>
    </row>
    <row r="74" spans="1:6">
      <c r="A74" s="196"/>
      <c r="B74" s="196"/>
      <c r="C74" s="196"/>
      <c r="D74" s="196"/>
      <c r="E74" s="196"/>
      <c r="F74" s="196"/>
    </row>
    <row r="75" spans="1:6">
      <c r="A75" s="196"/>
      <c r="B75" s="196"/>
      <c r="C75" s="196"/>
      <c r="D75" s="196"/>
      <c r="E75" s="196"/>
      <c r="F75" s="196"/>
    </row>
    <row r="76" spans="1:6">
      <c r="A76" s="196"/>
      <c r="B76" s="196"/>
      <c r="C76" s="196"/>
      <c r="D76" s="196"/>
      <c r="E76" s="196"/>
      <c r="F76" s="196"/>
    </row>
    <row r="77" spans="1:6">
      <c r="A77" s="196"/>
      <c r="B77" s="196"/>
      <c r="C77" s="196"/>
      <c r="D77" s="196"/>
      <c r="E77" s="196"/>
      <c r="F77" s="19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31.12.2023&amp;C&amp;8&amp;P&amp;R&amp;8______________________________________________________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heetViews>
  <sheetFormatPr defaultColWidth="9.1796875" defaultRowHeight="14"/>
  <cols>
    <col min="1" max="1" width="51" style="209" bestFit="1" customWidth="1"/>
    <col min="2" max="16384" width="9.1796875" style="209"/>
  </cols>
  <sheetData>
    <row r="1" spans="1:9" ht="27.75" customHeight="1">
      <c r="A1" s="258" t="s">
        <v>313</v>
      </c>
      <c r="B1" s="261">
        <v>0</v>
      </c>
      <c r="C1" s="261">
        <v>4</v>
      </c>
      <c r="D1" s="261">
        <v>8</v>
      </c>
      <c r="E1" s="261">
        <v>12</v>
      </c>
      <c r="F1" s="261">
        <v>16</v>
      </c>
    </row>
    <row r="2" spans="1:9">
      <c r="A2" s="259" t="s">
        <v>306</v>
      </c>
      <c r="B2" s="260">
        <v>2023</v>
      </c>
      <c r="C2" s="260">
        <v>2022</v>
      </c>
      <c r="D2" s="260">
        <v>2021</v>
      </c>
      <c r="E2" s="260">
        <v>2020</v>
      </c>
      <c r="F2" s="260">
        <v>2019</v>
      </c>
    </row>
    <row r="3" spans="1:9">
      <c r="A3" s="202"/>
      <c r="B3" s="203"/>
      <c r="C3" s="203"/>
      <c r="D3" s="203"/>
      <c r="E3" s="203"/>
      <c r="F3" s="203"/>
    </row>
    <row r="4" spans="1:9">
      <c r="A4" s="206" t="s">
        <v>81</v>
      </c>
      <c r="B4" s="224">
        <v>123116</v>
      </c>
      <c r="C4" s="224">
        <v>83515</v>
      </c>
      <c r="D4" s="224">
        <v>53958</v>
      </c>
      <c r="E4" s="224">
        <v>51730</v>
      </c>
      <c r="F4" s="224">
        <v>58307</v>
      </c>
    </row>
    <row r="5" spans="1:9">
      <c r="A5" s="206" t="s">
        <v>82</v>
      </c>
      <c r="B5" s="227">
        <v>-78431</v>
      </c>
      <c r="C5" s="227">
        <v>-43314</v>
      </c>
      <c r="D5" s="227">
        <v>-21895</v>
      </c>
      <c r="E5" s="227">
        <v>-20572</v>
      </c>
      <c r="F5" s="227">
        <v>-27990</v>
      </c>
    </row>
    <row r="6" spans="1:9">
      <c r="A6" s="204" t="s">
        <v>0</v>
      </c>
      <c r="B6" s="243">
        <v>44685</v>
      </c>
      <c r="C6" s="243">
        <v>40201</v>
      </c>
      <c r="D6" s="243">
        <v>32063</v>
      </c>
      <c r="E6" s="243">
        <v>31158</v>
      </c>
      <c r="F6" s="243">
        <v>30317</v>
      </c>
    </row>
    <row r="7" spans="1:9">
      <c r="A7" s="206" t="s">
        <v>308</v>
      </c>
      <c r="B7" s="224">
        <v>20120</v>
      </c>
      <c r="C7" s="224">
        <v>18741</v>
      </c>
      <c r="D7" s="224">
        <v>16706</v>
      </c>
      <c r="E7" s="224">
        <v>13225</v>
      </c>
      <c r="F7" s="224">
        <v>11499</v>
      </c>
    </row>
    <row r="8" spans="1:9">
      <c r="A8" s="206" t="s">
        <v>309</v>
      </c>
      <c r="B8" s="227">
        <v>-3731</v>
      </c>
      <c r="C8" s="227">
        <v>-2292</v>
      </c>
      <c r="D8" s="227">
        <v>-2033</v>
      </c>
      <c r="E8" s="227">
        <v>-1583</v>
      </c>
      <c r="F8" s="227">
        <v>-1549</v>
      </c>
    </row>
    <row r="9" spans="1:9">
      <c r="A9" s="204" t="s">
        <v>307</v>
      </c>
      <c r="B9" s="243">
        <v>16389</v>
      </c>
      <c r="C9" s="243">
        <v>16449</v>
      </c>
      <c r="D9" s="243">
        <v>14673</v>
      </c>
      <c r="E9" s="243">
        <v>11642</v>
      </c>
      <c r="F9" s="243">
        <v>9950</v>
      </c>
    </row>
    <row r="10" spans="1:9">
      <c r="A10" s="206" t="s">
        <v>425</v>
      </c>
      <c r="B10" s="224">
        <v>17416</v>
      </c>
      <c r="C10" s="224">
        <v>15105</v>
      </c>
      <c r="D10" s="224" t="s">
        <v>110</v>
      </c>
      <c r="E10" s="224" t="s">
        <v>110</v>
      </c>
      <c r="F10" s="224" t="s">
        <v>110</v>
      </c>
    </row>
    <row r="11" spans="1:9">
      <c r="A11" s="206" t="s">
        <v>426</v>
      </c>
      <c r="B11" s="227">
        <v>-17264</v>
      </c>
      <c r="C11" s="227">
        <v>-14490</v>
      </c>
      <c r="D11" s="227" t="s">
        <v>110</v>
      </c>
      <c r="E11" s="227" t="s">
        <v>110</v>
      </c>
      <c r="F11" s="227" t="s">
        <v>110</v>
      </c>
    </row>
    <row r="12" spans="1:9">
      <c r="A12" s="204" t="s">
        <v>427</v>
      </c>
      <c r="B12" s="243">
        <v>152</v>
      </c>
      <c r="C12" s="243">
        <v>615</v>
      </c>
      <c r="D12" s="243" t="s">
        <v>110</v>
      </c>
      <c r="E12" s="243" t="s">
        <v>110</v>
      </c>
      <c r="F12" s="243" t="s">
        <v>110</v>
      </c>
    </row>
    <row r="13" spans="1:9">
      <c r="A13" s="206" t="s">
        <v>376</v>
      </c>
      <c r="B13" s="224">
        <v>0</v>
      </c>
      <c r="C13" s="224">
        <v>0</v>
      </c>
      <c r="D13" s="224">
        <v>3442</v>
      </c>
      <c r="E13" s="224">
        <v>3071</v>
      </c>
      <c r="F13" s="224">
        <v>2886</v>
      </c>
      <c r="H13" s="210"/>
      <c r="I13" s="210"/>
    </row>
    <row r="14" spans="1:9">
      <c r="A14" s="206" t="s">
        <v>395</v>
      </c>
      <c r="B14" s="224">
        <v>1366</v>
      </c>
      <c r="C14" s="224">
        <v>-3286</v>
      </c>
      <c r="D14" s="224">
        <v>6220</v>
      </c>
      <c r="E14" s="224">
        <v>2745</v>
      </c>
      <c r="F14" s="224">
        <v>3212</v>
      </c>
    </row>
    <row r="15" spans="1:9">
      <c r="A15" s="206" t="s">
        <v>10</v>
      </c>
      <c r="B15" s="227">
        <v>1589</v>
      </c>
      <c r="C15" s="227">
        <v>1314</v>
      </c>
      <c r="D15" s="227">
        <v>1827</v>
      </c>
      <c r="E15" s="227">
        <v>2148</v>
      </c>
      <c r="F15" s="227">
        <v>1633</v>
      </c>
    </row>
    <row r="16" spans="1:9">
      <c r="A16" s="204" t="s">
        <v>396</v>
      </c>
      <c r="B16" s="243">
        <v>2955</v>
      </c>
      <c r="C16" s="243">
        <v>-1972</v>
      </c>
      <c r="D16" s="243">
        <v>11489</v>
      </c>
      <c r="E16" s="243">
        <v>7964</v>
      </c>
      <c r="F16" s="243">
        <v>7731</v>
      </c>
    </row>
    <row r="17" spans="1:12">
      <c r="A17" s="204" t="s">
        <v>4</v>
      </c>
      <c r="B17" s="245">
        <v>64181</v>
      </c>
      <c r="C17" s="245">
        <v>55293</v>
      </c>
      <c r="D17" s="245">
        <v>58225</v>
      </c>
      <c r="E17" s="245">
        <v>50764</v>
      </c>
      <c r="F17" s="245">
        <v>47998</v>
      </c>
    </row>
    <row r="18" spans="1:12">
      <c r="A18" s="206" t="s">
        <v>275</v>
      </c>
      <c r="B18" s="224">
        <v>-25701</v>
      </c>
      <c r="C18" s="224">
        <v>-24329</v>
      </c>
      <c r="D18" s="224">
        <v>0</v>
      </c>
      <c r="E18" s="224">
        <v>0</v>
      </c>
      <c r="F18" s="224">
        <v>0</v>
      </c>
    </row>
    <row r="19" spans="1:12" ht="18" customHeight="1">
      <c r="A19" s="206" t="s">
        <v>305</v>
      </c>
      <c r="B19" s="224" t="s">
        <v>110</v>
      </c>
      <c r="C19" s="224" t="s">
        <v>110</v>
      </c>
      <c r="D19" s="224">
        <v>-14638</v>
      </c>
      <c r="E19" s="224">
        <v>-12332</v>
      </c>
      <c r="F19" s="224">
        <v>-14641</v>
      </c>
      <c r="G19" s="213"/>
      <c r="H19" s="213"/>
      <c r="I19" s="213"/>
      <c r="J19" s="213"/>
      <c r="K19" s="213"/>
      <c r="L19" s="213"/>
    </row>
    <row r="20" spans="1:12">
      <c r="A20" s="206" t="s">
        <v>6</v>
      </c>
      <c r="B20" s="227" t="s">
        <v>110</v>
      </c>
      <c r="C20" s="227" t="s">
        <v>110</v>
      </c>
      <c r="D20" s="227">
        <v>-11237</v>
      </c>
      <c r="E20" s="227">
        <v>-12109</v>
      </c>
      <c r="F20" s="227">
        <v>-12222</v>
      </c>
    </row>
    <row r="21" spans="1:12">
      <c r="A21" s="204" t="s">
        <v>275</v>
      </c>
      <c r="B21" s="243">
        <v>-25701</v>
      </c>
      <c r="C21" s="243">
        <v>-24329</v>
      </c>
      <c r="D21" s="243">
        <v>-25875</v>
      </c>
      <c r="E21" s="243">
        <v>-24441</v>
      </c>
      <c r="F21" s="243">
        <v>-26863</v>
      </c>
    </row>
    <row r="22" spans="1:12">
      <c r="A22" s="206" t="s">
        <v>39</v>
      </c>
      <c r="B22" s="224">
        <v>-1796</v>
      </c>
      <c r="C22" s="224">
        <v>-1749</v>
      </c>
      <c r="D22" s="224">
        <v>-1516</v>
      </c>
      <c r="E22" s="224">
        <v>-1301</v>
      </c>
      <c r="F22" s="224">
        <v>-2984</v>
      </c>
    </row>
    <row r="23" spans="1:12">
      <c r="A23" s="206" t="s">
        <v>310</v>
      </c>
      <c r="B23" s="227">
        <v>-1348</v>
      </c>
      <c r="C23" s="227">
        <v>144</v>
      </c>
      <c r="D23" s="227">
        <v>3169</v>
      </c>
      <c r="E23" s="227">
        <v>-5044</v>
      </c>
      <c r="F23" s="227">
        <v>-382</v>
      </c>
    </row>
    <row r="24" spans="1:12">
      <c r="A24" s="204" t="s">
        <v>390</v>
      </c>
      <c r="B24" s="244">
        <v>35336</v>
      </c>
      <c r="C24" s="244">
        <v>29359</v>
      </c>
      <c r="D24" s="244">
        <v>34003</v>
      </c>
      <c r="E24" s="244">
        <v>19978</v>
      </c>
      <c r="F24" s="244">
        <v>17769</v>
      </c>
    </row>
    <row r="25" spans="1:12" ht="18" customHeight="1">
      <c r="A25" s="206" t="s">
        <v>380</v>
      </c>
      <c r="B25" s="227">
        <v>-9595</v>
      </c>
      <c r="C25" s="227">
        <v>-9944</v>
      </c>
      <c r="D25" s="227">
        <v>-6782</v>
      </c>
      <c r="E25" s="227">
        <v>-3231</v>
      </c>
      <c r="F25" s="227">
        <v>-3714</v>
      </c>
    </row>
    <row r="26" spans="1:12" s="215" customFormat="1">
      <c r="A26" s="204" t="s">
        <v>419</v>
      </c>
      <c r="B26" s="244">
        <v>25741</v>
      </c>
      <c r="C26" s="244">
        <v>19415</v>
      </c>
      <c r="D26" s="244">
        <v>27221</v>
      </c>
      <c r="E26" s="244">
        <v>16747</v>
      </c>
      <c r="F26" s="244">
        <v>14055</v>
      </c>
      <c r="G26" s="214"/>
      <c r="H26" s="214"/>
    </row>
    <row r="27" spans="1:12">
      <c r="A27" s="206" t="s">
        <v>397</v>
      </c>
      <c r="B27" s="227">
        <v>-4</v>
      </c>
      <c r="C27" s="227">
        <v>6543</v>
      </c>
      <c r="D27" s="227">
        <v>1394</v>
      </c>
      <c r="E27" s="227">
        <v>-4278</v>
      </c>
      <c r="F27" s="227">
        <v>-12955</v>
      </c>
    </row>
    <row r="28" spans="1:12">
      <c r="A28" s="204" t="s">
        <v>8</v>
      </c>
      <c r="B28" s="244">
        <v>25737</v>
      </c>
      <c r="C28" s="244">
        <v>25958</v>
      </c>
      <c r="D28" s="244">
        <v>28615</v>
      </c>
      <c r="E28" s="244">
        <v>12469</v>
      </c>
      <c r="F28" s="244">
        <v>1100</v>
      </c>
    </row>
    <row r="29" spans="1:12" ht="1.5" customHeight="1">
      <c r="A29" s="204"/>
      <c r="B29" s="228"/>
      <c r="C29" s="228"/>
      <c r="D29" s="228"/>
      <c r="E29" s="228"/>
      <c r="F29" s="228"/>
    </row>
    <row r="30" spans="1:12">
      <c r="A30" s="217"/>
      <c r="B30" s="224"/>
      <c r="C30" s="224"/>
      <c r="D30" s="224"/>
      <c r="E30" s="224"/>
      <c r="F30" s="224"/>
      <c r="I30" s="213"/>
    </row>
    <row r="31" spans="1:12">
      <c r="A31" s="204" t="s">
        <v>311</v>
      </c>
      <c r="B31" s="224"/>
      <c r="C31" s="224"/>
      <c r="D31" s="224"/>
      <c r="E31" s="224"/>
      <c r="F31" s="224"/>
    </row>
    <row r="32" spans="1:12">
      <c r="A32" s="206" t="s">
        <v>94</v>
      </c>
      <c r="B32" s="224">
        <v>25755</v>
      </c>
      <c r="C32" s="224">
        <v>25945</v>
      </c>
      <c r="D32" s="224">
        <v>28607</v>
      </c>
      <c r="E32" s="224">
        <v>12476</v>
      </c>
      <c r="F32" s="224">
        <v>1096</v>
      </c>
    </row>
    <row r="33" spans="1:6">
      <c r="A33" s="206" t="s">
        <v>312</v>
      </c>
      <c r="B33" s="227">
        <v>-18</v>
      </c>
      <c r="C33" s="227">
        <v>13</v>
      </c>
      <c r="D33" s="227">
        <v>8</v>
      </c>
      <c r="E33" s="227">
        <v>20</v>
      </c>
      <c r="F33" s="227">
        <v>4</v>
      </c>
    </row>
    <row r="34" spans="1:6">
      <c r="A34" s="204" t="s">
        <v>8</v>
      </c>
      <c r="B34" s="249">
        <v>25737</v>
      </c>
      <c r="C34" s="249">
        <v>25958</v>
      </c>
      <c r="D34" s="249">
        <v>28615</v>
      </c>
      <c r="E34" s="249">
        <v>12496</v>
      </c>
      <c r="F34" s="249">
        <v>1100</v>
      </c>
    </row>
    <row r="35" spans="1:6" ht="1.5" customHeight="1">
      <c r="A35" s="204"/>
      <c r="B35" s="228"/>
      <c r="C35" s="228"/>
      <c r="D35" s="228"/>
      <c r="E35" s="228"/>
      <c r="F35" s="228"/>
    </row>
    <row r="36" spans="1:6">
      <c r="A36" s="204"/>
      <c r="B36" s="224"/>
      <c r="C36" s="224"/>
      <c r="D36" s="224"/>
      <c r="E36" s="224"/>
      <c r="F36" s="224"/>
    </row>
    <row r="40" spans="1:6">
      <c r="A40" s="204"/>
      <c r="B40" s="205"/>
      <c r="C40" s="205"/>
      <c r="D40" s="205"/>
      <c r="E40" s="205"/>
      <c r="F40" s="205"/>
    </row>
    <row r="41" spans="1:6">
      <c r="B41" s="205"/>
      <c r="C41" s="205"/>
      <c r="D41" s="205"/>
      <c r="E41" s="205"/>
      <c r="F41" s="205"/>
    </row>
    <row r="42" spans="1:6">
      <c r="B42" s="205"/>
      <c r="C42" s="205"/>
      <c r="D42" s="205"/>
      <c r="E42" s="205"/>
      <c r="F42" s="205"/>
    </row>
    <row r="43" spans="1:6">
      <c r="B43" s="205"/>
      <c r="C43" s="205"/>
      <c r="D43" s="205"/>
      <c r="E43" s="205"/>
      <c r="F43" s="205"/>
    </row>
    <row r="44" spans="1:6">
      <c r="B44" s="205"/>
      <c r="C44" s="205"/>
      <c r="D44" s="205"/>
      <c r="E44" s="205"/>
      <c r="F44" s="205"/>
    </row>
    <row r="45" spans="1:6">
      <c r="B45" s="205"/>
      <c r="C45" s="205"/>
      <c r="D45" s="205"/>
      <c r="E45" s="205"/>
      <c r="F45" s="205"/>
    </row>
    <row r="46" spans="1:6">
      <c r="B46" s="205"/>
      <c r="C46" s="205"/>
      <c r="D46" s="205"/>
      <c r="E46" s="205"/>
      <c r="F46" s="205"/>
    </row>
    <row r="47" spans="1:6">
      <c r="B47" s="205"/>
      <c r="C47" s="205"/>
      <c r="D47" s="205"/>
      <c r="E47" s="205"/>
      <c r="F47" s="205"/>
    </row>
    <row r="48" spans="1:6">
      <c r="B48" s="205"/>
      <c r="C48" s="205"/>
      <c r="D48" s="205"/>
      <c r="E48" s="205"/>
      <c r="F48" s="205"/>
    </row>
    <row r="49" spans="2:6">
      <c r="B49" s="205"/>
      <c r="C49" s="205"/>
      <c r="D49" s="205"/>
      <c r="E49" s="205"/>
      <c r="F49" s="205"/>
    </row>
  </sheetData>
  <pageMargins left="0.70866141732283472" right="0.70866141732283472" top="0.74803149606299213" bottom="0.74803149606299213" header="0.31496062992125984" footer="0.31496062992125984"/>
  <pageSetup paperSize="9" scale="89" firstPageNumber="3" orientation="portrait" useFirstPageNumber="1" r:id="rId1"/>
  <headerFooter>
    <oddFooter>&amp;L&amp;"-,Italic"&amp;8______________________________________________________
Arion Bank Factbook 31.12.2023&amp;C&amp;8&amp;P&amp;R&amp;8______________________________________________________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L40"/>
  <sheetViews>
    <sheetView zoomScaleNormal="100" workbookViewId="0"/>
  </sheetViews>
  <sheetFormatPr defaultColWidth="9.1796875" defaultRowHeight="14"/>
  <cols>
    <col min="1" max="1" width="44.7265625" style="209" customWidth="1"/>
    <col min="2" max="6" width="10.26953125" style="209" customWidth="1"/>
    <col min="7" max="16384" width="9.1796875" style="209"/>
  </cols>
  <sheetData>
    <row r="1" spans="1:12" ht="27.75" customHeight="1">
      <c r="A1" s="258" t="s">
        <v>315</v>
      </c>
      <c r="B1" s="261">
        <v>0</v>
      </c>
      <c r="C1" s="261">
        <v>4</v>
      </c>
      <c r="D1" s="261">
        <v>8</v>
      </c>
      <c r="E1" s="261">
        <v>12</v>
      </c>
      <c r="F1" s="261">
        <v>16</v>
      </c>
    </row>
    <row r="2" spans="1:12">
      <c r="A2" s="259" t="s">
        <v>306</v>
      </c>
      <c r="B2" s="262">
        <v>45291</v>
      </c>
      <c r="C2" s="262">
        <v>44926</v>
      </c>
      <c r="D2" s="262">
        <v>44561</v>
      </c>
      <c r="E2" s="262">
        <v>44196</v>
      </c>
      <c r="F2" s="262">
        <v>43830</v>
      </c>
    </row>
    <row r="3" spans="1:12">
      <c r="A3" s="202"/>
      <c r="B3" s="203"/>
      <c r="C3" s="203"/>
      <c r="D3" s="203"/>
      <c r="E3" s="203"/>
      <c r="F3" s="203"/>
    </row>
    <row r="4" spans="1:12">
      <c r="A4" s="204" t="s">
        <v>99</v>
      </c>
      <c r="B4" s="205"/>
      <c r="C4" s="205"/>
      <c r="D4" s="205"/>
      <c r="E4" s="205"/>
      <c r="F4" s="205"/>
    </row>
    <row r="5" spans="1:12">
      <c r="A5" s="206" t="s">
        <v>316</v>
      </c>
      <c r="B5" s="224">
        <v>102095</v>
      </c>
      <c r="C5" s="224">
        <v>114118</v>
      </c>
      <c r="D5" s="224">
        <v>69057</v>
      </c>
      <c r="E5" s="224">
        <v>42136</v>
      </c>
      <c r="F5" s="224">
        <v>95717</v>
      </c>
      <c r="L5" s="213"/>
    </row>
    <row r="6" spans="1:12">
      <c r="A6" s="206" t="s">
        <v>23</v>
      </c>
      <c r="B6" s="224">
        <v>28835</v>
      </c>
      <c r="C6" s="224">
        <v>45501</v>
      </c>
      <c r="D6" s="224">
        <v>30272</v>
      </c>
      <c r="E6" s="224">
        <v>28235</v>
      </c>
      <c r="F6" s="224">
        <v>17947</v>
      </c>
      <c r="L6" s="213"/>
    </row>
    <row r="7" spans="1:12">
      <c r="A7" s="206" t="s">
        <v>24</v>
      </c>
      <c r="B7" s="224">
        <v>1152789</v>
      </c>
      <c r="C7" s="224">
        <v>1084757</v>
      </c>
      <c r="D7" s="224">
        <v>936237</v>
      </c>
      <c r="E7" s="224">
        <v>822941</v>
      </c>
      <c r="F7" s="224">
        <v>773955</v>
      </c>
      <c r="L7" s="213"/>
    </row>
    <row r="8" spans="1:12">
      <c r="A8" s="206" t="s">
        <v>274</v>
      </c>
      <c r="B8" s="224">
        <v>205706</v>
      </c>
      <c r="C8" s="224">
        <v>193329</v>
      </c>
      <c r="D8" s="224">
        <v>225657</v>
      </c>
      <c r="E8" s="224">
        <v>227251</v>
      </c>
      <c r="F8" s="224">
        <v>117406</v>
      </c>
      <c r="L8" s="213"/>
    </row>
    <row r="9" spans="1:12">
      <c r="A9" s="206" t="s">
        <v>107</v>
      </c>
      <c r="B9" s="224">
        <v>9493</v>
      </c>
      <c r="C9" s="224">
        <v>7862</v>
      </c>
      <c r="D9" s="224">
        <v>6560</v>
      </c>
      <c r="E9" s="224">
        <v>6132</v>
      </c>
      <c r="F9" s="224">
        <v>7119</v>
      </c>
      <c r="L9" s="213"/>
    </row>
    <row r="10" spans="1:12">
      <c r="A10" s="206" t="s">
        <v>19</v>
      </c>
      <c r="B10" s="224">
        <v>789</v>
      </c>
      <c r="C10" s="224">
        <v>787</v>
      </c>
      <c r="D10" s="224">
        <v>668</v>
      </c>
      <c r="E10" s="224">
        <v>891</v>
      </c>
      <c r="F10" s="224">
        <v>852</v>
      </c>
      <c r="L10" s="213"/>
    </row>
    <row r="11" spans="1:12">
      <c r="A11" s="206" t="s">
        <v>17</v>
      </c>
      <c r="B11" s="224">
        <v>8051</v>
      </c>
      <c r="C11" s="224">
        <v>8783</v>
      </c>
      <c r="D11" s="224">
        <v>9463</v>
      </c>
      <c r="E11" s="224">
        <v>9689</v>
      </c>
      <c r="F11" s="224">
        <v>8367</v>
      </c>
      <c r="L11" s="213"/>
    </row>
    <row r="12" spans="1:12">
      <c r="A12" s="206" t="s">
        <v>106</v>
      </c>
      <c r="B12" s="224">
        <v>39</v>
      </c>
      <c r="C12" s="224">
        <v>135</v>
      </c>
      <c r="D12" s="224">
        <v>2</v>
      </c>
      <c r="E12" s="224">
        <v>2</v>
      </c>
      <c r="F12" s="224">
        <v>2</v>
      </c>
      <c r="L12" s="213"/>
    </row>
    <row r="13" spans="1:12">
      <c r="A13" s="206" t="s">
        <v>388</v>
      </c>
      <c r="B13" s="224">
        <v>62</v>
      </c>
      <c r="C13" s="224">
        <v>61</v>
      </c>
      <c r="D13" s="224">
        <v>16047</v>
      </c>
      <c r="E13" s="224">
        <v>16811</v>
      </c>
      <c r="F13" s="224">
        <v>43626</v>
      </c>
      <c r="L13" s="213"/>
    </row>
    <row r="14" spans="1:12" s="215" customFormat="1">
      <c r="A14" s="206" t="s">
        <v>18</v>
      </c>
      <c r="B14" s="227">
        <v>17813</v>
      </c>
      <c r="C14" s="227">
        <v>10277</v>
      </c>
      <c r="D14" s="227">
        <v>16747</v>
      </c>
      <c r="E14" s="227">
        <v>18618</v>
      </c>
      <c r="F14" s="227">
        <v>16865</v>
      </c>
      <c r="L14" s="213"/>
    </row>
    <row r="15" spans="1:12">
      <c r="A15" s="204" t="s">
        <v>15</v>
      </c>
      <c r="B15" s="243">
        <v>1525672</v>
      </c>
      <c r="C15" s="243">
        <v>1465610</v>
      </c>
      <c r="D15" s="243">
        <v>1310710</v>
      </c>
      <c r="E15" s="243">
        <v>1172706</v>
      </c>
      <c r="F15" s="243">
        <v>1081856</v>
      </c>
      <c r="L15" s="213"/>
    </row>
    <row r="16" spans="1:12" ht="1.5" customHeight="1">
      <c r="A16" s="204"/>
      <c r="B16" s="227"/>
      <c r="C16" s="227"/>
      <c r="D16" s="227"/>
      <c r="E16" s="227"/>
      <c r="F16" s="227"/>
    </row>
    <row r="17" spans="1:6">
      <c r="A17" s="218"/>
      <c r="B17" s="224"/>
      <c r="C17" s="224"/>
      <c r="D17" s="224"/>
      <c r="E17" s="224"/>
      <c r="F17" s="224"/>
    </row>
    <row r="18" spans="1:6">
      <c r="A18" s="204" t="s">
        <v>354</v>
      </c>
      <c r="B18" s="224"/>
      <c r="C18" s="224"/>
      <c r="D18" s="224"/>
      <c r="E18" s="224"/>
      <c r="F18" s="224"/>
    </row>
    <row r="19" spans="1:6">
      <c r="A19" s="206" t="s">
        <v>317</v>
      </c>
      <c r="B19" s="224">
        <v>2771</v>
      </c>
      <c r="C19" s="224">
        <v>11697</v>
      </c>
      <c r="D19" s="224">
        <v>5000</v>
      </c>
      <c r="E19" s="224">
        <v>13031</v>
      </c>
      <c r="F19" s="224">
        <v>5984</v>
      </c>
    </row>
    <row r="20" spans="1:6">
      <c r="A20" s="206" t="s">
        <v>14</v>
      </c>
      <c r="B20" s="224">
        <v>792710</v>
      </c>
      <c r="C20" s="224">
        <v>755361</v>
      </c>
      <c r="D20" s="224">
        <v>655476</v>
      </c>
      <c r="E20" s="224">
        <v>568424</v>
      </c>
      <c r="F20" s="224">
        <v>492916</v>
      </c>
    </row>
    <row r="21" spans="1:6">
      <c r="A21" s="206" t="s">
        <v>303</v>
      </c>
      <c r="B21" s="224">
        <v>11646</v>
      </c>
      <c r="C21" s="224">
        <v>20997</v>
      </c>
      <c r="D21" s="224">
        <v>5877</v>
      </c>
      <c r="E21" s="224">
        <v>5240</v>
      </c>
      <c r="F21" s="224">
        <v>2570</v>
      </c>
    </row>
    <row r="22" spans="1:6">
      <c r="A22" s="206" t="s">
        <v>108</v>
      </c>
      <c r="B22" s="224">
        <v>11169</v>
      </c>
      <c r="C22" s="224">
        <v>10303</v>
      </c>
      <c r="D22" s="224">
        <v>7102</v>
      </c>
      <c r="E22" s="224">
        <v>4262</v>
      </c>
      <c r="F22" s="224">
        <v>4404</v>
      </c>
    </row>
    <row r="23" spans="1:6" s="196" customFormat="1" ht="14.5">
      <c r="A23" s="206" t="s">
        <v>387</v>
      </c>
      <c r="B23" s="224">
        <v>0</v>
      </c>
      <c r="C23" s="224">
        <v>0</v>
      </c>
      <c r="D23" s="224">
        <v>16935</v>
      </c>
      <c r="E23" s="224">
        <v>16183</v>
      </c>
      <c r="F23" s="224">
        <v>28631</v>
      </c>
    </row>
    <row r="24" spans="1:6">
      <c r="A24" s="206" t="s">
        <v>20</v>
      </c>
      <c r="B24" s="224">
        <v>46336</v>
      </c>
      <c r="C24" s="224">
        <v>39401</v>
      </c>
      <c r="D24" s="224">
        <v>34914</v>
      </c>
      <c r="E24" s="224">
        <v>32714</v>
      </c>
      <c r="F24" s="224">
        <v>32698</v>
      </c>
    </row>
    <row r="25" spans="1:6">
      <c r="A25" s="206" t="s">
        <v>11</v>
      </c>
      <c r="B25" s="224">
        <v>420460</v>
      </c>
      <c r="C25" s="224">
        <v>392563</v>
      </c>
      <c r="D25" s="224">
        <v>356637</v>
      </c>
      <c r="E25" s="224">
        <v>298947</v>
      </c>
      <c r="F25" s="224">
        <v>304745</v>
      </c>
    </row>
    <row r="26" spans="1:6">
      <c r="A26" s="206" t="s">
        <v>344</v>
      </c>
      <c r="B26" s="227">
        <v>41279</v>
      </c>
      <c r="C26" s="227">
        <v>47331</v>
      </c>
      <c r="D26" s="227">
        <v>35088</v>
      </c>
      <c r="E26" s="227">
        <v>36060</v>
      </c>
      <c r="F26" s="227">
        <v>20083</v>
      </c>
    </row>
    <row r="27" spans="1:6">
      <c r="A27" s="204" t="s">
        <v>355</v>
      </c>
      <c r="B27" s="243">
        <v>1326371</v>
      </c>
      <c r="C27" s="243">
        <v>1277653</v>
      </c>
      <c r="D27" s="243">
        <v>1117029</v>
      </c>
      <c r="E27" s="243">
        <v>974861</v>
      </c>
      <c r="F27" s="243">
        <v>892031</v>
      </c>
    </row>
    <row r="28" spans="1:6">
      <c r="A28" s="217"/>
      <c r="B28" s="224"/>
      <c r="C28" s="224"/>
      <c r="D28" s="224"/>
      <c r="E28" s="224"/>
      <c r="F28" s="224"/>
    </row>
    <row r="29" spans="1:6">
      <c r="A29" s="204" t="s">
        <v>21</v>
      </c>
      <c r="B29" s="224"/>
      <c r="C29" s="224"/>
      <c r="D29" s="224"/>
      <c r="E29" s="224"/>
      <c r="F29" s="224"/>
    </row>
    <row r="30" spans="1:6">
      <c r="A30" s="206" t="s">
        <v>340</v>
      </c>
      <c r="B30" s="224">
        <v>10634</v>
      </c>
      <c r="C30" s="224">
        <v>13372</v>
      </c>
      <c r="D30" s="224">
        <v>22684</v>
      </c>
      <c r="E30" s="224">
        <v>51331</v>
      </c>
      <c r="F30" s="224">
        <v>55715</v>
      </c>
    </row>
    <row r="31" spans="1:6">
      <c r="A31" s="206" t="s">
        <v>341</v>
      </c>
      <c r="B31" s="224">
        <v>12283</v>
      </c>
      <c r="C31" s="224">
        <v>10672</v>
      </c>
      <c r="D31" s="224">
        <v>12838</v>
      </c>
      <c r="E31" s="224">
        <v>11320</v>
      </c>
      <c r="F31" s="224">
        <v>9493</v>
      </c>
    </row>
    <row r="32" spans="1:6">
      <c r="A32" s="206" t="s">
        <v>342</v>
      </c>
      <c r="B32" s="227">
        <v>175881</v>
      </c>
      <c r="C32" s="227">
        <v>163264</v>
      </c>
      <c r="D32" s="227">
        <v>157486</v>
      </c>
      <c r="E32" s="227">
        <v>135021</v>
      </c>
      <c r="F32" s="227">
        <v>124436</v>
      </c>
    </row>
    <row r="33" spans="1:6">
      <c r="A33" s="204" t="s">
        <v>356</v>
      </c>
      <c r="B33" s="244">
        <v>198798</v>
      </c>
      <c r="C33" s="244">
        <v>187308</v>
      </c>
      <c r="D33" s="244">
        <v>193008</v>
      </c>
      <c r="E33" s="244">
        <v>197672</v>
      </c>
      <c r="F33" s="244">
        <v>189644</v>
      </c>
    </row>
    <row r="34" spans="1:6">
      <c r="A34" s="206" t="s">
        <v>312</v>
      </c>
      <c r="B34" s="227">
        <v>503</v>
      </c>
      <c r="C34" s="227">
        <v>649</v>
      </c>
      <c r="D34" s="227">
        <v>673</v>
      </c>
      <c r="E34" s="227">
        <v>173</v>
      </c>
      <c r="F34" s="227">
        <v>181</v>
      </c>
    </row>
    <row r="35" spans="1:6">
      <c r="A35" s="204" t="s">
        <v>51</v>
      </c>
      <c r="B35" s="243">
        <v>199301</v>
      </c>
      <c r="C35" s="243">
        <v>187957</v>
      </c>
      <c r="D35" s="243">
        <v>193681</v>
      </c>
      <c r="E35" s="243">
        <v>197845</v>
      </c>
      <c r="F35" s="243">
        <v>189825</v>
      </c>
    </row>
    <row r="36" spans="1:6">
      <c r="A36" s="204" t="s">
        <v>16</v>
      </c>
      <c r="B36" s="243">
        <v>1525672</v>
      </c>
      <c r="C36" s="243">
        <v>1465610</v>
      </c>
      <c r="D36" s="243">
        <v>1310710</v>
      </c>
      <c r="E36" s="243">
        <v>1172706</v>
      </c>
      <c r="F36" s="243">
        <v>1081856</v>
      </c>
    </row>
    <row r="37" spans="1:6" ht="1.5" customHeight="1">
      <c r="A37" s="204"/>
      <c r="B37" s="212"/>
      <c r="C37" s="212"/>
      <c r="D37" s="212"/>
      <c r="E37" s="212"/>
      <c r="F37" s="212"/>
    </row>
    <row r="38" spans="1:6">
      <c r="A38" s="204"/>
      <c r="B38" s="205"/>
      <c r="C38" s="205"/>
      <c r="D38" s="205"/>
      <c r="E38" s="205"/>
      <c r="F38" s="205"/>
    </row>
    <row r="39" spans="1:6">
      <c r="A39" s="206"/>
      <c r="B39" s="205"/>
      <c r="C39" s="205"/>
      <c r="D39" s="205"/>
      <c r="E39" s="205"/>
      <c r="F39" s="205"/>
    </row>
    <row r="40" spans="1:6">
      <c r="B40" s="205"/>
      <c r="C40" s="205"/>
      <c r="D40" s="205"/>
      <c r="E40" s="205"/>
      <c r="F40" s="205"/>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31.12.2023&amp;C&amp;8&amp;P&amp;R&amp;"-,Italic"&amp;8______________________________________________________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F42"/>
  <sheetViews>
    <sheetView zoomScaleNormal="100" workbookViewId="0"/>
  </sheetViews>
  <sheetFormatPr defaultColWidth="9.1796875" defaultRowHeight="14"/>
  <cols>
    <col min="1" max="1" width="47.54296875" style="209" bestFit="1" customWidth="1"/>
    <col min="2" max="6" width="9" style="209" customWidth="1"/>
    <col min="7" max="16384" width="9.1796875" style="209"/>
  </cols>
  <sheetData>
    <row r="1" spans="1:6" ht="27.75" customHeight="1">
      <c r="A1" s="258" t="s">
        <v>324</v>
      </c>
      <c r="B1" s="261"/>
      <c r="C1" s="261">
        <v>4</v>
      </c>
      <c r="D1" s="261">
        <v>8</v>
      </c>
      <c r="E1" s="261">
        <v>12</v>
      </c>
      <c r="F1" s="261">
        <v>16</v>
      </c>
    </row>
    <row r="2" spans="1:6">
      <c r="A2" s="259" t="s">
        <v>306</v>
      </c>
      <c r="B2" s="260">
        <v>2023</v>
      </c>
      <c r="C2" s="260">
        <v>2022</v>
      </c>
      <c r="D2" s="260">
        <v>2021</v>
      </c>
      <c r="E2" s="260">
        <v>2020</v>
      </c>
      <c r="F2" s="260">
        <v>2019</v>
      </c>
    </row>
    <row r="3" spans="1:6">
      <c r="A3" s="202"/>
      <c r="B3" s="203"/>
      <c r="C3" s="203"/>
      <c r="D3" s="203"/>
      <c r="E3" s="203"/>
      <c r="F3" s="203"/>
    </row>
    <row r="4" spans="1:6">
      <c r="A4" s="204" t="s">
        <v>81</v>
      </c>
      <c r="B4" s="205"/>
      <c r="C4" s="205"/>
      <c r="D4" s="205"/>
      <c r="E4" s="205"/>
      <c r="F4" s="205"/>
    </row>
    <row r="5" spans="1:6">
      <c r="A5" s="206" t="s">
        <v>273</v>
      </c>
      <c r="B5" s="224">
        <v>5747</v>
      </c>
      <c r="C5" s="224">
        <v>3334</v>
      </c>
      <c r="D5" s="224">
        <v>573</v>
      </c>
      <c r="E5" s="224">
        <v>1435</v>
      </c>
      <c r="F5" s="224">
        <v>4008</v>
      </c>
    </row>
    <row r="6" spans="1:6">
      <c r="A6" s="206" t="s">
        <v>323</v>
      </c>
      <c r="B6" s="224">
        <v>110735</v>
      </c>
      <c r="C6" s="224">
        <v>77059</v>
      </c>
      <c r="D6" s="224">
        <v>49166</v>
      </c>
      <c r="E6" s="224">
        <v>46992</v>
      </c>
      <c r="F6" s="224">
        <v>52803</v>
      </c>
    </row>
    <row r="7" spans="1:6">
      <c r="A7" s="206" t="s">
        <v>12</v>
      </c>
      <c r="B7" s="224">
        <v>6572</v>
      </c>
      <c r="C7" s="224">
        <v>2988</v>
      </c>
      <c r="D7" s="224">
        <v>4029</v>
      </c>
      <c r="E7" s="224">
        <v>3138</v>
      </c>
      <c r="F7" s="224">
        <v>1335</v>
      </c>
    </row>
    <row r="8" spans="1:6">
      <c r="A8" s="206" t="s">
        <v>13</v>
      </c>
      <c r="B8" s="227">
        <v>62</v>
      </c>
      <c r="C8" s="227">
        <v>134</v>
      </c>
      <c r="D8" s="227">
        <v>189</v>
      </c>
      <c r="E8" s="227">
        <v>165</v>
      </c>
      <c r="F8" s="227">
        <v>161</v>
      </c>
    </row>
    <row r="9" spans="1:6">
      <c r="A9" s="204" t="s">
        <v>81</v>
      </c>
      <c r="B9" s="243">
        <v>123116</v>
      </c>
      <c r="C9" s="243">
        <v>83515</v>
      </c>
      <c r="D9" s="243">
        <v>53957</v>
      </c>
      <c r="E9" s="243">
        <v>51730</v>
      </c>
      <c r="F9" s="243">
        <v>58307</v>
      </c>
    </row>
    <row r="10" spans="1:6">
      <c r="A10" s="218"/>
      <c r="B10" s="224"/>
      <c r="C10" s="224"/>
      <c r="D10" s="224"/>
      <c r="E10" s="224"/>
      <c r="F10" s="224"/>
    </row>
    <row r="11" spans="1:6">
      <c r="A11" s="204" t="s">
        <v>82</v>
      </c>
      <c r="B11" s="224"/>
      <c r="C11" s="224"/>
      <c r="D11" s="224"/>
      <c r="E11" s="224"/>
      <c r="F11" s="224"/>
    </row>
    <row r="12" spans="1:6">
      <c r="A12" s="206" t="s">
        <v>14</v>
      </c>
      <c r="B12" s="224">
        <v>-46268</v>
      </c>
      <c r="C12" s="224">
        <v>-22751</v>
      </c>
      <c r="D12" s="224">
        <v>-6820</v>
      </c>
      <c r="E12" s="224">
        <v>-6644</v>
      </c>
      <c r="F12" s="224">
        <v>-11949</v>
      </c>
    </row>
    <row r="13" spans="1:6">
      <c r="A13" s="206" t="s">
        <v>11</v>
      </c>
      <c r="B13" s="224">
        <v>-27365</v>
      </c>
      <c r="C13" s="224">
        <v>-18027</v>
      </c>
      <c r="D13" s="224">
        <v>-13065</v>
      </c>
      <c r="E13" s="224">
        <v>-12030</v>
      </c>
      <c r="F13" s="224">
        <v>-15473</v>
      </c>
    </row>
    <row r="14" spans="1:6">
      <c r="A14" s="206" t="s">
        <v>344</v>
      </c>
      <c r="B14" s="224">
        <v>-4651</v>
      </c>
      <c r="C14" s="224">
        <v>-2338</v>
      </c>
      <c r="D14" s="224">
        <v>-1891</v>
      </c>
      <c r="E14" s="224">
        <v>-1780</v>
      </c>
      <c r="F14" s="224">
        <v>-449</v>
      </c>
    </row>
    <row r="15" spans="1:6">
      <c r="A15" s="206" t="s">
        <v>13</v>
      </c>
      <c r="B15" s="227">
        <v>-147</v>
      </c>
      <c r="C15" s="227">
        <v>-198</v>
      </c>
      <c r="D15" s="227">
        <v>-118</v>
      </c>
      <c r="E15" s="227">
        <v>-118</v>
      </c>
      <c r="F15" s="227">
        <v>-119</v>
      </c>
    </row>
    <row r="16" spans="1:6">
      <c r="A16" s="204" t="s">
        <v>82</v>
      </c>
      <c r="B16" s="243">
        <v>-78431</v>
      </c>
      <c r="C16" s="243">
        <v>-43314</v>
      </c>
      <c r="D16" s="243">
        <v>-21894</v>
      </c>
      <c r="E16" s="243">
        <v>-20572</v>
      </c>
      <c r="F16" s="243">
        <v>-27990</v>
      </c>
    </row>
    <row r="17" spans="1:6">
      <c r="A17" s="206"/>
      <c r="B17" s="227"/>
      <c r="C17" s="227"/>
      <c r="D17" s="227"/>
      <c r="E17" s="227"/>
      <c r="F17" s="227"/>
    </row>
    <row r="18" spans="1:6">
      <c r="A18" s="204" t="s">
        <v>0</v>
      </c>
      <c r="B18" s="243">
        <v>44685</v>
      </c>
      <c r="C18" s="243">
        <v>40201</v>
      </c>
      <c r="D18" s="243">
        <v>32063</v>
      </c>
      <c r="E18" s="243">
        <v>31158</v>
      </c>
      <c r="F18" s="243">
        <v>30317</v>
      </c>
    </row>
    <row r="19" spans="1:6" ht="1.5" customHeight="1">
      <c r="A19" s="204"/>
      <c r="B19" s="227"/>
      <c r="C19" s="227"/>
      <c r="D19" s="227"/>
      <c r="E19" s="227"/>
      <c r="F19" s="227"/>
    </row>
    <row r="20" spans="1:6">
      <c r="A20" s="218"/>
      <c r="B20" s="224"/>
      <c r="C20" s="224"/>
      <c r="D20" s="224"/>
      <c r="E20" s="224"/>
      <c r="F20" s="224"/>
    </row>
    <row r="21" spans="1:6">
      <c r="A21" s="204" t="s">
        <v>302</v>
      </c>
      <c r="B21" s="224"/>
      <c r="C21" s="224"/>
      <c r="D21" s="224"/>
      <c r="E21" s="224"/>
      <c r="F21" s="224"/>
    </row>
    <row r="22" spans="1:6">
      <c r="A22" s="206" t="s">
        <v>316</v>
      </c>
      <c r="B22" s="224">
        <v>102095</v>
      </c>
      <c r="C22" s="224">
        <v>114118</v>
      </c>
      <c r="D22" s="224">
        <v>69057</v>
      </c>
      <c r="E22" s="224">
        <v>42136</v>
      </c>
      <c r="F22" s="224">
        <v>95717</v>
      </c>
    </row>
    <row r="23" spans="1:6">
      <c r="A23" s="206" t="s">
        <v>323</v>
      </c>
      <c r="B23" s="224">
        <v>1181624</v>
      </c>
      <c r="C23" s="224">
        <v>1130258</v>
      </c>
      <c r="D23" s="224">
        <v>966509</v>
      </c>
      <c r="E23" s="224">
        <v>851176</v>
      </c>
      <c r="F23" s="224">
        <v>791902</v>
      </c>
    </row>
    <row r="24" spans="1:6">
      <c r="A24" s="206" t="s">
        <v>12</v>
      </c>
      <c r="B24" s="227">
        <v>159392.43953209999</v>
      </c>
      <c r="C24" s="227">
        <v>142064.43640673</v>
      </c>
      <c r="D24" s="227">
        <v>168800.86298530002</v>
      </c>
      <c r="E24" s="227">
        <v>192243.63590376999</v>
      </c>
      <c r="F24" s="227">
        <v>83342.674255189995</v>
      </c>
    </row>
    <row r="25" spans="1:6">
      <c r="A25" s="204" t="s">
        <v>302</v>
      </c>
      <c r="B25" s="243">
        <v>1443111.4395321</v>
      </c>
      <c r="C25" s="243">
        <v>1386440.43640673</v>
      </c>
      <c r="D25" s="243">
        <v>1204366.8629852999</v>
      </c>
      <c r="E25" s="243">
        <v>1085555.6359037701</v>
      </c>
      <c r="F25" s="243">
        <v>970961.67425518995</v>
      </c>
    </row>
    <row r="26" spans="1:6">
      <c r="A26" s="218"/>
      <c r="B26" s="224"/>
      <c r="C26" s="224"/>
      <c r="D26" s="224"/>
      <c r="E26" s="224"/>
      <c r="F26" s="224"/>
    </row>
    <row r="27" spans="1:6">
      <c r="A27" s="204" t="s">
        <v>89</v>
      </c>
      <c r="B27" s="224"/>
      <c r="C27" s="224"/>
      <c r="D27" s="224"/>
      <c r="E27" s="224"/>
      <c r="F27" s="224"/>
    </row>
    <row r="28" spans="1:6">
      <c r="A28" s="206" t="s">
        <v>317</v>
      </c>
      <c r="B28" s="224">
        <v>2771</v>
      </c>
      <c r="C28" s="224">
        <v>11697</v>
      </c>
      <c r="D28" s="224">
        <v>5000</v>
      </c>
      <c r="E28" s="224">
        <v>13031</v>
      </c>
      <c r="F28" s="224">
        <v>5984</v>
      </c>
    </row>
    <row r="29" spans="1:6">
      <c r="A29" s="206" t="s">
        <v>14</v>
      </c>
      <c r="B29" s="224">
        <v>792710</v>
      </c>
      <c r="C29" s="224">
        <v>755361</v>
      </c>
      <c r="D29" s="224">
        <v>655476</v>
      </c>
      <c r="E29" s="224">
        <v>568424</v>
      </c>
      <c r="F29" s="224">
        <v>492916</v>
      </c>
    </row>
    <row r="30" spans="1:6">
      <c r="A30" s="206" t="s">
        <v>303</v>
      </c>
      <c r="B30" s="224">
        <v>11646</v>
      </c>
      <c r="C30" s="224">
        <v>20997</v>
      </c>
      <c r="D30" s="224">
        <v>5877</v>
      </c>
      <c r="E30" s="224">
        <v>5240</v>
      </c>
      <c r="F30" s="224">
        <v>2570</v>
      </c>
    </row>
    <row r="31" spans="1:6">
      <c r="A31" s="206" t="s">
        <v>11</v>
      </c>
      <c r="B31" s="224">
        <v>420460</v>
      </c>
      <c r="C31" s="224">
        <v>392563</v>
      </c>
      <c r="D31" s="224">
        <v>356637</v>
      </c>
      <c r="E31" s="224">
        <v>298947</v>
      </c>
      <c r="F31" s="224">
        <v>304745</v>
      </c>
    </row>
    <row r="32" spans="1:6">
      <c r="A32" s="206" t="s">
        <v>344</v>
      </c>
      <c r="B32" s="227">
        <v>41279</v>
      </c>
      <c r="C32" s="227">
        <v>47331</v>
      </c>
      <c r="D32" s="227">
        <v>35088</v>
      </c>
      <c r="E32" s="227">
        <v>36060</v>
      </c>
      <c r="F32" s="227">
        <v>20083</v>
      </c>
    </row>
    <row r="33" spans="1:6">
      <c r="A33" s="204" t="s">
        <v>89</v>
      </c>
      <c r="B33" s="243">
        <v>1268866</v>
      </c>
      <c r="C33" s="243">
        <v>1227949</v>
      </c>
      <c r="D33" s="243">
        <v>1058078</v>
      </c>
      <c r="E33" s="243">
        <v>921702</v>
      </c>
      <c r="F33" s="243">
        <v>826298</v>
      </c>
    </row>
    <row r="34" spans="1:6">
      <c r="B34" s="227"/>
      <c r="C34" s="227"/>
      <c r="D34" s="227"/>
      <c r="E34" s="227"/>
      <c r="F34" s="227"/>
    </row>
    <row r="35" spans="1:6">
      <c r="A35" s="204" t="s">
        <v>52</v>
      </c>
      <c r="B35" s="243">
        <v>174245.43953209999</v>
      </c>
      <c r="C35" s="243">
        <v>158491.43640672998</v>
      </c>
      <c r="D35" s="243">
        <v>146288.8629852999</v>
      </c>
      <c r="E35" s="243">
        <v>163853.6359037701</v>
      </c>
      <c r="F35" s="243">
        <v>144663.67425518995</v>
      </c>
    </row>
    <row r="36" spans="1:6" ht="1.5" customHeight="1">
      <c r="A36" s="204"/>
      <c r="B36" s="227"/>
      <c r="C36" s="227"/>
      <c r="D36" s="227"/>
      <c r="E36" s="227"/>
      <c r="F36" s="227"/>
    </row>
    <row r="37" spans="1:6">
      <c r="A37" s="218"/>
      <c r="B37" s="206"/>
      <c r="C37" s="206"/>
      <c r="D37" s="206"/>
      <c r="E37" s="206"/>
      <c r="F37" s="206"/>
    </row>
    <row r="38" spans="1:6">
      <c r="A38" s="204" t="s">
        <v>353</v>
      </c>
      <c r="B38" s="246">
        <v>3.0897723026552457E-2</v>
      </c>
      <c r="C38" s="246">
        <v>3.0937515377763083E-2</v>
      </c>
      <c r="D38" s="246">
        <v>2.7596882578629273E-2</v>
      </c>
      <c r="E38" s="246">
        <v>2.8727000356400547E-2</v>
      </c>
      <c r="F38" s="246">
        <v>2.8112805413094369E-2</v>
      </c>
    </row>
    <row r="42" spans="1:6">
      <c r="A42" s="8"/>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31.12.2023&amp;C&amp;8&amp;P&amp;R&amp;8__________________________&amp;"-,Italic"____________________________
All amounts are in ISK millions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F44"/>
  <sheetViews>
    <sheetView zoomScaleNormal="100" workbookViewId="0"/>
  </sheetViews>
  <sheetFormatPr defaultColWidth="9.1796875" defaultRowHeight="14"/>
  <cols>
    <col min="1" max="1" width="48.81640625" style="209" customWidth="1"/>
    <col min="2" max="4" width="10.1796875" style="209" bestFit="1" customWidth="1"/>
    <col min="5" max="5" width="10.1796875" style="209" customWidth="1"/>
    <col min="6" max="6" width="10.1796875" style="209" bestFit="1" customWidth="1"/>
    <col min="7" max="16384" width="9.1796875" style="209"/>
  </cols>
  <sheetData>
    <row r="1" spans="1:6" ht="27.75" customHeight="1">
      <c r="A1" s="268" t="s">
        <v>326</v>
      </c>
      <c r="B1" s="268"/>
      <c r="C1" s="261">
        <v>4</v>
      </c>
      <c r="D1" s="261">
        <v>8</v>
      </c>
      <c r="E1" s="261">
        <v>12</v>
      </c>
      <c r="F1" s="261">
        <v>16</v>
      </c>
    </row>
    <row r="2" spans="1:6">
      <c r="A2" s="259" t="s">
        <v>306</v>
      </c>
      <c r="B2" s="262">
        <v>45291</v>
      </c>
      <c r="C2" s="262">
        <v>44926</v>
      </c>
      <c r="D2" s="262">
        <v>44561</v>
      </c>
      <c r="E2" s="262">
        <v>44196</v>
      </c>
      <c r="F2" s="262">
        <v>43830</v>
      </c>
    </row>
    <row r="3" spans="1:6">
      <c r="A3" s="202"/>
      <c r="B3" s="203"/>
      <c r="C3" s="203"/>
      <c r="D3" s="203"/>
      <c r="E3" s="203"/>
      <c r="F3" s="203"/>
    </row>
    <row r="4" spans="1:6">
      <c r="A4" s="204" t="s">
        <v>24</v>
      </c>
      <c r="B4" s="205"/>
      <c r="C4" s="205"/>
      <c r="D4" s="205"/>
      <c r="E4" s="205"/>
      <c r="F4" s="205"/>
    </row>
    <row r="5" spans="1:6">
      <c r="A5" s="206" t="s">
        <v>28</v>
      </c>
      <c r="B5" s="224">
        <v>609144</v>
      </c>
      <c r="C5" s="224">
        <v>582371</v>
      </c>
      <c r="D5" s="224">
        <v>526498</v>
      </c>
      <c r="E5" s="224">
        <v>433336</v>
      </c>
      <c r="F5" s="224">
        <v>368569</v>
      </c>
    </row>
    <row r="6" spans="1:6">
      <c r="A6" s="206" t="s">
        <v>327</v>
      </c>
      <c r="B6" s="227">
        <v>543645</v>
      </c>
      <c r="C6" s="227">
        <v>502386</v>
      </c>
      <c r="D6" s="227">
        <v>409739</v>
      </c>
      <c r="E6" s="227">
        <v>389605</v>
      </c>
      <c r="F6" s="227">
        <v>405386</v>
      </c>
    </row>
    <row r="7" spans="1:6">
      <c r="A7" s="204" t="s">
        <v>87</v>
      </c>
      <c r="B7" s="227">
        <v>1152789</v>
      </c>
      <c r="C7" s="227">
        <v>1084757</v>
      </c>
      <c r="D7" s="227">
        <v>936237</v>
      </c>
      <c r="E7" s="227">
        <v>822941</v>
      </c>
      <c r="F7" s="227">
        <v>773955</v>
      </c>
    </row>
    <row r="8" spans="1:6">
      <c r="A8" s="218"/>
      <c r="B8" s="224"/>
      <c r="C8" s="224"/>
      <c r="D8" s="224"/>
      <c r="E8" s="224"/>
      <c r="F8" s="224"/>
    </row>
    <row r="9" spans="1:6">
      <c r="A9" s="204" t="s">
        <v>357</v>
      </c>
      <c r="B9" s="224"/>
      <c r="C9" s="224"/>
      <c r="D9" s="224"/>
      <c r="E9" s="224"/>
      <c r="F9" s="224"/>
    </row>
    <row r="10" spans="1:6" s="198" customFormat="1" ht="14.5">
      <c r="A10" s="206" t="s">
        <v>385</v>
      </c>
      <c r="B10" s="223">
        <v>1.7267122461983572E-2</v>
      </c>
      <c r="C10" s="223">
        <v>1.1985273978563178E-2</v>
      </c>
      <c r="D10" s="223">
        <v>1.896302009774993E-2</v>
      </c>
      <c r="E10" s="223">
        <v>2.6172517778485695E-2</v>
      </c>
      <c r="F10" s="223">
        <v>2.6684084042670017E-2</v>
      </c>
    </row>
    <row r="11" spans="1:6">
      <c r="A11" s="206"/>
      <c r="B11" s="224"/>
      <c r="C11" s="223"/>
      <c r="D11" s="223"/>
      <c r="E11" s="223"/>
      <c r="F11" s="223"/>
    </row>
    <row r="12" spans="1:6">
      <c r="A12" s="211" t="s">
        <v>386</v>
      </c>
      <c r="B12" s="223"/>
      <c r="C12" s="223"/>
      <c r="D12" s="223"/>
      <c r="E12" s="223"/>
      <c r="F12" s="223"/>
    </row>
    <row r="13" spans="1:6">
      <c r="A13" s="211"/>
      <c r="B13" s="223"/>
      <c r="C13" s="223"/>
      <c r="D13" s="223"/>
      <c r="E13" s="223"/>
      <c r="F13" s="223"/>
    </row>
    <row r="14" spans="1:6">
      <c r="A14" s="204" t="s">
        <v>328</v>
      </c>
      <c r="B14" s="221"/>
      <c r="C14" s="221"/>
      <c r="D14" s="221"/>
      <c r="E14" s="221"/>
      <c r="F14" s="221"/>
    </row>
    <row r="15" spans="1:6">
      <c r="A15" s="206" t="s">
        <v>30</v>
      </c>
      <c r="B15" s="224">
        <v>13840</v>
      </c>
      <c r="C15" s="224">
        <v>14893</v>
      </c>
      <c r="D15" s="224">
        <v>14255</v>
      </c>
      <c r="E15" s="224">
        <v>12875</v>
      </c>
      <c r="F15" s="224">
        <v>14421</v>
      </c>
    </row>
    <row r="16" spans="1:6">
      <c r="A16" s="206" t="s">
        <v>254</v>
      </c>
      <c r="B16" s="224">
        <v>15972</v>
      </c>
      <c r="C16" s="224">
        <v>14304</v>
      </c>
      <c r="D16" s="224">
        <v>13192</v>
      </c>
      <c r="E16" s="224">
        <v>12260</v>
      </c>
      <c r="F16" s="224">
        <v>13028</v>
      </c>
    </row>
    <row r="17" spans="1:6">
      <c r="A17" s="206" t="s">
        <v>245</v>
      </c>
      <c r="B17" s="224">
        <v>550269</v>
      </c>
      <c r="C17" s="224">
        <v>514007</v>
      </c>
      <c r="D17" s="224">
        <v>463895</v>
      </c>
      <c r="E17" s="224">
        <v>378554</v>
      </c>
      <c r="F17" s="224">
        <v>310562</v>
      </c>
    </row>
    <row r="18" spans="1:6">
      <c r="A18" s="206" t="s">
        <v>32</v>
      </c>
      <c r="B18" s="224">
        <v>31536</v>
      </c>
      <c r="C18" s="224">
        <v>40942</v>
      </c>
      <c r="D18" s="224">
        <v>37044</v>
      </c>
      <c r="E18" s="224">
        <v>32122</v>
      </c>
      <c r="F18" s="224">
        <v>33105</v>
      </c>
    </row>
    <row r="19" spans="1:6">
      <c r="A19" s="206" t="s">
        <v>329</v>
      </c>
      <c r="B19" s="227">
        <v>-2473</v>
      </c>
      <c r="C19" s="227">
        <v>-1775</v>
      </c>
      <c r="D19" s="227">
        <v>-1888</v>
      </c>
      <c r="E19" s="227">
        <v>-2475</v>
      </c>
      <c r="F19" s="227">
        <v>-2547</v>
      </c>
    </row>
    <row r="20" spans="1:6">
      <c r="A20" s="204" t="s">
        <v>330</v>
      </c>
      <c r="B20" s="227">
        <v>609144</v>
      </c>
      <c r="C20" s="227">
        <v>582371</v>
      </c>
      <c r="D20" s="227">
        <v>526498</v>
      </c>
      <c r="E20" s="227">
        <v>433336</v>
      </c>
      <c r="F20" s="227">
        <v>368569</v>
      </c>
    </row>
    <row r="21" spans="1:6">
      <c r="A21" s="206"/>
      <c r="B21" s="224"/>
      <c r="C21" s="224"/>
      <c r="D21" s="224"/>
      <c r="E21" s="224"/>
      <c r="F21" s="224"/>
    </row>
    <row r="22" spans="1:6">
      <c r="A22" s="211"/>
      <c r="B22" s="206"/>
      <c r="C22" s="206"/>
      <c r="D22" s="206"/>
      <c r="E22" s="206"/>
      <c r="F22" s="206"/>
    </row>
    <row r="23" spans="1:6">
      <c r="A23" s="204" t="s">
        <v>337</v>
      </c>
      <c r="B23" s="221"/>
      <c r="C23" s="221"/>
      <c r="D23" s="221"/>
      <c r="E23" s="221"/>
      <c r="F23" s="221"/>
    </row>
    <row r="24" spans="1:6">
      <c r="A24" s="206" t="s">
        <v>30</v>
      </c>
      <c r="B24" s="224">
        <v>43013</v>
      </c>
      <c r="C24" s="224">
        <v>33369</v>
      </c>
      <c r="D24" s="224">
        <v>18301</v>
      </c>
      <c r="E24" s="224">
        <v>15471</v>
      </c>
      <c r="F24" s="224">
        <v>18709</v>
      </c>
    </row>
    <row r="25" spans="1:6">
      <c r="A25" s="206" t="s">
        <v>254</v>
      </c>
      <c r="B25" s="224">
        <v>2062</v>
      </c>
      <c r="C25" s="224">
        <v>1838</v>
      </c>
      <c r="D25" s="224">
        <v>1449</v>
      </c>
      <c r="E25" s="224">
        <v>1086</v>
      </c>
      <c r="F25" s="224">
        <v>1373</v>
      </c>
    </row>
    <row r="26" spans="1:6">
      <c r="A26" s="206" t="s">
        <v>245</v>
      </c>
      <c r="B26" s="224">
        <v>68840</v>
      </c>
      <c r="C26" s="224">
        <v>60528</v>
      </c>
      <c r="D26" s="224">
        <v>41588</v>
      </c>
      <c r="E26" s="224">
        <v>32175</v>
      </c>
      <c r="F26" s="224">
        <v>23475</v>
      </c>
    </row>
    <row r="27" spans="1:6">
      <c r="A27" s="206" t="s">
        <v>32</v>
      </c>
      <c r="B27" s="224">
        <v>435808</v>
      </c>
      <c r="C27" s="224">
        <v>411792</v>
      </c>
      <c r="D27" s="224">
        <v>354113</v>
      </c>
      <c r="E27" s="224">
        <v>350455</v>
      </c>
      <c r="F27" s="224">
        <v>368453</v>
      </c>
    </row>
    <row r="28" spans="1:6">
      <c r="A28" s="206" t="s">
        <v>329</v>
      </c>
      <c r="B28" s="227">
        <v>-6078</v>
      </c>
      <c r="C28" s="227">
        <v>-5141</v>
      </c>
      <c r="D28" s="227">
        <v>-5712</v>
      </c>
      <c r="E28" s="227">
        <v>-9582</v>
      </c>
      <c r="F28" s="227">
        <v>-6624</v>
      </c>
    </row>
    <row r="29" spans="1:6">
      <c r="A29" s="204" t="s">
        <v>338</v>
      </c>
      <c r="B29" s="227">
        <v>543645</v>
      </c>
      <c r="C29" s="227">
        <v>502386</v>
      </c>
      <c r="D29" s="227">
        <v>409739</v>
      </c>
      <c r="E29" s="227">
        <v>389605</v>
      </c>
      <c r="F29" s="227">
        <v>405386</v>
      </c>
    </row>
    <row r="30" spans="1:6">
      <c r="B30" s="224"/>
      <c r="C30" s="224"/>
      <c r="D30" s="224"/>
      <c r="E30" s="224"/>
      <c r="F30" s="224"/>
    </row>
    <row r="31" spans="1:6">
      <c r="A31" s="204" t="s">
        <v>339</v>
      </c>
      <c r="B31" s="206"/>
      <c r="C31" s="206"/>
      <c r="D31" s="206"/>
      <c r="E31" s="206"/>
      <c r="F31" s="206"/>
    </row>
    <row r="32" spans="1:6">
      <c r="A32" s="206" t="s">
        <v>358</v>
      </c>
      <c r="B32" s="223">
        <v>2.1219729786901377E-2</v>
      </c>
      <c r="C32" s="223">
        <v>2.288877476681277E-2</v>
      </c>
      <c r="D32" s="223">
        <v>2.4928063962668917E-2</v>
      </c>
      <c r="E32" s="223">
        <v>2.0746653662042324E-2</v>
      </c>
      <c r="F32" s="223">
        <v>1.8888170780441357E-2</v>
      </c>
    </row>
    <row r="33" spans="1:6">
      <c r="A33" s="206" t="s">
        <v>173</v>
      </c>
      <c r="B33" s="223">
        <v>4.0818916756339155E-2</v>
      </c>
      <c r="C33" s="223">
        <v>3.8128052931411305E-2</v>
      </c>
      <c r="D33" s="223">
        <v>4.2146341939624979E-2</v>
      </c>
      <c r="E33" s="223">
        <v>3.3816301125498903E-2</v>
      </c>
      <c r="F33" s="223">
        <v>4.336607578949446E-2</v>
      </c>
    </row>
    <row r="34" spans="1:6">
      <c r="A34" s="206" t="s">
        <v>331</v>
      </c>
      <c r="B34" s="223">
        <v>7.6367850343514607E-2</v>
      </c>
      <c r="C34" s="223">
        <v>8.2362963936096947E-2</v>
      </c>
      <c r="D34" s="223">
        <v>0.11177359245763767</v>
      </c>
      <c r="E34" s="223">
        <v>9.1757035972330953E-2</v>
      </c>
      <c r="F34" s="223">
        <v>8.3054175526535198E-2</v>
      </c>
    </row>
    <row r="35" spans="1:6">
      <c r="A35" s="206" t="s">
        <v>332</v>
      </c>
      <c r="B35" s="223">
        <v>0.10079371648778154</v>
      </c>
      <c r="C35" s="223">
        <v>8.788859562169328E-2</v>
      </c>
      <c r="D35" s="223">
        <v>6.8138497921847813E-2</v>
      </c>
      <c r="E35" s="223">
        <v>8.0063140873448749E-2</v>
      </c>
      <c r="F35" s="223">
        <v>9.8446912325536651E-2</v>
      </c>
    </row>
    <row r="36" spans="1:6">
      <c r="A36" s="206" t="s">
        <v>333</v>
      </c>
      <c r="B36" s="223">
        <v>4.7847400417551894E-2</v>
      </c>
      <c r="C36" s="223">
        <v>4.9010123689752501E-2</v>
      </c>
      <c r="D36" s="223">
        <v>4.0845513851500592E-2</v>
      </c>
      <c r="E36" s="223">
        <v>5.3413072214165629E-2</v>
      </c>
      <c r="F36" s="223">
        <v>4.712052216899449E-2</v>
      </c>
    </row>
    <row r="37" spans="1:6">
      <c r="A37" s="206" t="s">
        <v>334</v>
      </c>
      <c r="B37" s="223">
        <v>2.6142059616109777E-2</v>
      </c>
      <c r="C37" s="223">
        <v>2.1051542041378542E-2</v>
      </c>
      <c r="D37" s="223">
        <v>1.6883918787325591E-2</v>
      </c>
      <c r="E37" s="223">
        <v>1.7417640944033058E-2</v>
      </c>
      <c r="F37" s="223">
        <v>2.1256284134133888E-2</v>
      </c>
    </row>
    <row r="38" spans="1:6">
      <c r="A38" s="206" t="s">
        <v>335</v>
      </c>
      <c r="B38" s="223">
        <v>0.3528571034406644</v>
      </c>
      <c r="C38" s="223">
        <v>0.31949934910606587</v>
      </c>
      <c r="D38" s="223">
        <v>0.31076124069224553</v>
      </c>
      <c r="E38" s="223">
        <v>0.32825040746396994</v>
      </c>
      <c r="F38" s="223">
        <v>0.32032679964280958</v>
      </c>
    </row>
    <row r="39" spans="1:6">
      <c r="A39" s="206" t="s">
        <v>171</v>
      </c>
      <c r="B39" s="223">
        <v>0.15225376854381076</v>
      </c>
      <c r="C39" s="223">
        <v>0.18198556488437179</v>
      </c>
      <c r="D39" s="223">
        <v>0.19059450040147508</v>
      </c>
      <c r="E39" s="223">
        <v>0.20939669665430372</v>
      </c>
      <c r="F39" s="223">
        <v>0.20459759340480432</v>
      </c>
    </row>
    <row r="40" spans="1:6">
      <c r="A40" s="206" t="s">
        <v>172</v>
      </c>
      <c r="B40" s="223">
        <v>1.5561625693237316E-2</v>
      </c>
      <c r="C40" s="223">
        <v>2.7982467664305934E-2</v>
      </c>
      <c r="D40" s="223">
        <v>3.4563466011290116E-2</v>
      </c>
      <c r="E40" s="223">
        <v>3.2699785680368576E-2</v>
      </c>
      <c r="F40" s="223">
        <v>2.7297439970793268E-2</v>
      </c>
    </row>
    <row r="41" spans="1:6">
      <c r="A41" s="206" t="s">
        <v>336</v>
      </c>
      <c r="B41" s="230">
        <v>0.16613782891408915</v>
      </c>
      <c r="C41" s="230">
        <v>0.1692025653581111</v>
      </c>
      <c r="D41" s="230">
        <v>0.15936486397438368</v>
      </c>
      <c r="E41" s="230">
        <v>0.13243926540983816</v>
      </c>
      <c r="F41" s="230">
        <v>0.1356460262564568</v>
      </c>
    </row>
    <row r="42" spans="1:6">
      <c r="B42" s="231">
        <v>0.99999999999999989</v>
      </c>
      <c r="C42" s="231">
        <v>1</v>
      </c>
      <c r="D42" s="231">
        <v>1</v>
      </c>
      <c r="E42" s="231">
        <v>1</v>
      </c>
      <c r="F42" s="231">
        <v>1</v>
      </c>
    </row>
    <row r="43" spans="1:6">
      <c r="A43" s="211"/>
    </row>
    <row r="44" spans="1:6">
      <c r="A44" s="211"/>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31.12.2023&amp;C&amp;8&amp;P&amp;R&amp;8__________________________&amp;"-,Italic"____________________________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F65"/>
  <sheetViews>
    <sheetView zoomScaleNormal="100" zoomScaleSheetLayoutView="85" workbookViewId="0"/>
  </sheetViews>
  <sheetFormatPr defaultColWidth="9.1796875" defaultRowHeight="14"/>
  <cols>
    <col min="1" max="1" width="57" style="209" bestFit="1" customWidth="1"/>
    <col min="2" max="2" width="10.1796875" style="209" customWidth="1"/>
    <col min="3" max="6" width="10.1796875" style="209" bestFit="1" customWidth="1"/>
    <col min="7" max="16384" width="9.1796875" style="209"/>
  </cols>
  <sheetData>
    <row r="1" spans="1:6" ht="27.75" customHeight="1">
      <c r="A1" s="258" t="s">
        <v>345</v>
      </c>
      <c r="B1" s="261">
        <v>0</v>
      </c>
      <c r="C1" s="261">
        <v>4</v>
      </c>
      <c r="D1" s="261">
        <v>8</v>
      </c>
      <c r="E1" s="261">
        <v>12</v>
      </c>
      <c r="F1" s="261">
        <v>16</v>
      </c>
    </row>
    <row r="2" spans="1:6">
      <c r="A2" s="259" t="s">
        <v>306</v>
      </c>
      <c r="B2" s="262">
        <v>45291</v>
      </c>
      <c r="C2" s="262">
        <v>44926</v>
      </c>
      <c r="D2" s="262">
        <v>44561</v>
      </c>
      <c r="E2" s="262">
        <v>44196</v>
      </c>
      <c r="F2" s="262">
        <v>43830</v>
      </c>
    </row>
    <row r="3" spans="1:6">
      <c r="A3" s="202"/>
      <c r="B3" s="203"/>
      <c r="C3" s="203"/>
      <c r="D3" s="203"/>
      <c r="E3" s="203"/>
      <c r="F3" s="203"/>
    </row>
    <row r="4" spans="1:6">
      <c r="A4" s="204" t="s">
        <v>370</v>
      </c>
      <c r="B4" s="203"/>
      <c r="C4" s="203"/>
      <c r="D4" s="203"/>
      <c r="E4" s="203"/>
      <c r="F4" s="203"/>
    </row>
    <row r="5" spans="1:6">
      <c r="A5" s="217" t="s">
        <v>51</v>
      </c>
      <c r="B5" s="225">
        <v>199301</v>
      </c>
      <c r="C5" s="225">
        <v>187956</v>
      </c>
      <c r="D5" s="225">
        <v>193681</v>
      </c>
      <c r="E5" s="225">
        <v>197845</v>
      </c>
      <c r="F5" s="225">
        <v>189825</v>
      </c>
    </row>
    <row r="6" spans="1:6">
      <c r="A6" s="206" t="s">
        <v>383</v>
      </c>
      <c r="B6" s="224">
        <v>0</v>
      </c>
      <c r="C6" s="224">
        <v>0</v>
      </c>
      <c r="D6" s="224">
        <v>0</v>
      </c>
      <c r="E6" s="224">
        <v>0</v>
      </c>
      <c r="F6" s="224">
        <v>-10159</v>
      </c>
    </row>
    <row r="7" spans="1:6">
      <c r="A7" s="206" t="s">
        <v>384</v>
      </c>
      <c r="B7" s="227">
        <v>-503</v>
      </c>
      <c r="C7" s="227">
        <v>-649</v>
      </c>
      <c r="D7" s="227">
        <v>-673</v>
      </c>
      <c r="E7" s="227">
        <v>-173</v>
      </c>
      <c r="F7" s="227">
        <v>-181</v>
      </c>
    </row>
    <row r="8" spans="1:6">
      <c r="A8" s="204" t="s">
        <v>381</v>
      </c>
      <c r="B8" s="228">
        <v>198798</v>
      </c>
      <c r="C8" s="228">
        <v>187307</v>
      </c>
      <c r="D8" s="228">
        <v>193008</v>
      </c>
      <c r="E8" s="228">
        <v>197672</v>
      </c>
      <c r="F8" s="228">
        <v>179485</v>
      </c>
    </row>
    <row r="9" spans="1:6">
      <c r="A9" s="206" t="s">
        <v>17</v>
      </c>
      <c r="B9" s="224">
        <v>-7211</v>
      </c>
      <c r="C9" s="224">
        <v>-6425</v>
      </c>
      <c r="D9" s="224">
        <v>-8435</v>
      </c>
      <c r="E9" s="224">
        <v>-13092</v>
      </c>
      <c r="F9" s="224">
        <v>-10604</v>
      </c>
    </row>
    <row r="10" spans="1:6">
      <c r="A10" s="206" t="s">
        <v>106</v>
      </c>
      <c r="B10" s="224">
        <v>0</v>
      </c>
      <c r="C10" s="224">
        <v>0</v>
      </c>
      <c r="D10" s="224">
        <v>0</v>
      </c>
      <c r="E10" s="224">
        <v>0</v>
      </c>
      <c r="F10" s="224">
        <v>-296</v>
      </c>
    </row>
    <row r="11" spans="1:6">
      <c r="A11" s="206" t="s">
        <v>382</v>
      </c>
      <c r="B11" s="224">
        <v>-12877</v>
      </c>
      <c r="C11" s="224">
        <v>-15980</v>
      </c>
      <c r="D11" s="224">
        <v>-26773</v>
      </c>
      <c r="E11" s="224">
        <v>-17990</v>
      </c>
      <c r="F11" s="224">
        <v>-14153</v>
      </c>
    </row>
    <row r="12" spans="1:6">
      <c r="A12" s="206" t="s">
        <v>398</v>
      </c>
      <c r="B12" s="224">
        <v>952</v>
      </c>
      <c r="C12" s="224">
        <v>1142</v>
      </c>
      <c r="D12" s="224">
        <v>920</v>
      </c>
      <c r="E12" s="224">
        <v>1890</v>
      </c>
      <c r="F12" s="224">
        <v>0</v>
      </c>
    </row>
    <row r="13" spans="1:6">
      <c r="A13" s="206" t="s">
        <v>343</v>
      </c>
      <c r="B13" s="227">
        <v>-227</v>
      </c>
      <c r="C13" s="227">
        <v>-224</v>
      </c>
      <c r="D13" s="227">
        <v>-437</v>
      </c>
      <c r="E13" s="227">
        <v>-2520</v>
      </c>
      <c r="F13" s="227">
        <v>-1740</v>
      </c>
    </row>
    <row r="14" spans="1:6">
      <c r="A14" s="204" t="s">
        <v>368</v>
      </c>
      <c r="B14" s="227">
        <v>179435</v>
      </c>
      <c r="C14" s="227">
        <v>165820</v>
      </c>
      <c r="D14" s="227">
        <v>158283</v>
      </c>
      <c r="E14" s="227">
        <v>165960</v>
      </c>
      <c r="F14" s="227">
        <v>152692</v>
      </c>
    </row>
    <row r="15" spans="1:6">
      <c r="A15" s="206" t="s">
        <v>415</v>
      </c>
      <c r="B15" s="224">
        <v>117</v>
      </c>
      <c r="C15" s="224">
        <v>105</v>
      </c>
      <c r="D15" s="224">
        <v>133</v>
      </c>
      <c r="E15" s="224">
        <v>173</v>
      </c>
      <c r="F15" s="224">
        <v>181</v>
      </c>
    </row>
    <row r="16" spans="1:6">
      <c r="A16" s="206" t="s">
        <v>391</v>
      </c>
      <c r="B16" s="227">
        <v>13217</v>
      </c>
      <c r="C16" s="227">
        <v>13396</v>
      </c>
      <c r="D16" s="227">
        <v>13225</v>
      </c>
      <c r="E16" s="227">
        <v>13498</v>
      </c>
      <c r="F16" s="227">
        <v>0</v>
      </c>
    </row>
    <row r="17" spans="1:6">
      <c r="A17" s="204" t="s">
        <v>124</v>
      </c>
      <c r="B17" s="227">
        <v>192769</v>
      </c>
      <c r="C17" s="227">
        <v>179321</v>
      </c>
      <c r="D17" s="227">
        <v>171641</v>
      </c>
      <c r="E17" s="227">
        <v>179631</v>
      </c>
      <c r="F17" s="227">
        <v>152873</v>
      </c>
    </row>
    <row r="18" spans="1:6">
      <c r="A18" s="206" t="s">
        <v>403</v>
      </c>
      <c r="B18" s="224">
        <v>28062</v>
      </c>
      <c r="C18" s="224">
        <v>33935</v>
      </c>
      <c r="D18" s="224">
        <v>21863</v>
      </c>
      <c r="E18" s="224">
        <v>22562</v>
      </c>
      <c r="F18" s="224">
        <v>20083</v>
      </c>
    </row>
    <row r="19" spans="1:6">
      <c r="A19" s="206" t="s">
        <v>404</v>
      </c>
      <c r="B19" s="224">
        <v>-1247</v>
      </c>
      <c r="C19" s="224">
        <v>-1155</v>
      </c>
      <c r="D19" s="224">
        <v>-1056</v>
      </c>
      <c r="E19" s="224">
        <v>-1007</v>
      </c>
      <c r="F19" s="224">
        <v>0</v>
      </c>
    </row>
    <row r="20" spans="1:6" s="215" customFormat="1">
      <c r="A20" s="206" t="s">
        <v>374</v>
      </c>
      <c r="B20" s="224">
        <v>0</v>
      </c>
      <c r="C20" s="224">
        <v>0</v>
      </c>
      <c r="D20" s="224">
        <v>0</v>
      </c>
      <c r="E20" s="224">
        <v>0</v>
      </c>
      <c r="F20" s="224">
        <v>0</v>
      </c>
    </row>
    <row r="21" spans="1:6" s="215" customFormat="1">
      <c r="A21" s="204" t="s">
        <v>369</v>
      </c>
      <c r="B21" s="228">
        <v>26815</v>
      </c>
      <c r="C21" s="228">
        <v>32780</v>
      </c>
      <c r="D21" s="228">
        <v>20807</v>
      </c>
      <c r="E21" s="228">
        <v>21555</v>
      </c>
      <c r="F21" s="228">
        <v>20083</v>
      </c>
    </row>
    <row r="22" spans="1:6">
      <c r="A22" s="204" t="s">
        <v>402</v>
      </c>
      <c r="B22" s="232">
        <v>219584</v>
      </c>
      <c r="C22" s="232">
        <v>212101</v>
      </c>
      <c r="D22" s="232">
        <v>192448</v>
      </c>
      <c r="E22" s="232">
        <v>201186</v>
      </c>
      <c r="F22" s="232">
        <v>172956</v>
      </c>
    </row>
    <row r="23" spans="1:6">
      <c r="A23" s="206"/>
      <c r="B23" s="223"/>
      <c r="C23" s="223"/>
      <c r="D23" s="223"/>
      <c r="E23" s="223"/>
      <c r="F23" s="223"/>
    </row>
    <row r="24" spans="1:6">
      <c r="A24" s="204" t="s">
        <v>393</v>
      </c>
      <c r="B24" s="224"/>
      <c r="C24" s="224"/>
      <c r="D24" s="224"/>
      <c r="E24" s="224"/>
      <c r="F24" s="224"/>
    </row>
    <row r="25" spans="1:6">
      <c r="A25" s="206" t="s">
        <v>420</v>
      </c>
      <c r="B25" s="225">
        <v>732760</v>
      </c>
      <c r="C25" s="225">
        <v>707479</v>
      </c>
      <c r="D25" s="225">
        <v>623395</v>
      </c>
      <c r="E25" s="225">
        <v>570554</v>
      </c>
      <c r="F25" s="225">
        <v>561602</v>
      </c>
    </row>
    <row r="26" spans="1:6">
      <c r="A26" s="206" t="s">
        <v>373</v>
      </c>
      <c r="B26" s="225">
        <v>52032</v>
      </c>
      <c r="C26" s="225">
        <v>56714</v>
      </c>
      <c r="D26" s="224">
        <v>69553</v>
      </c>
      <c r="E26" s="224">
        <v>60813</v>
      </c>
      <c r="F26" s="224">
        <v>49163</v>
      </c>
    </row>
    <row r="27" spans="1:6">
      <c r="A27" s="206" t="s">
        <v>377</v>
      </c>
      <c r="B27" s="225">
        <v>7442</v>
      </c>
      <c r="C27" s="225">
        <v>14645</v>
      </c>
      <c r="D27" s="224">
        <v>7761</v>
      </c>
      <c r="E27" s="224">
        <v>3462</v>
      </c>
      <c r="F27" s="224">
        <v>3347</v>
      </c>
    </row>
    <row r="28" spans="1:6">
      <c r="A28" s="206" t="s">
        <v>378</v>
      </c>
      <c r="B28" s="225">
        <v>4751</v>
      </c>
      <c r="C28" s="225">
        <v>1387</v>
      </c>
      <c r="D28" s="225">
        <v>4691</v>
      </c>
      <c r="E28" s="225">
        <v>8569</v>
      </c>
      <c r="F28" s="225">
        <v>10070</v>
      </c>
    </row>
    <row r="29" spans="1:6">
      <c r="A29" s="206" t="s">
        <v>37</v>
      </c>
      <c r="B29" s="225">
        <v>11066</v>
      </c>
      <c r="C29" s="225">
        <v>7493</v>
      </c>
      <c r="D29" s="225">
        <v>8958</v>
      </c>
      <c r="E29" s="225">
        <v>13063</v>
      </c>
      <c r="F29" s="225">
        <v>10609</v>
      </c>
    </row>
    <row r="30" spans="1:6">
      <c r="A30" s="206" t="s">
        <v>372</v>
      </c>
      <c r="B30" s="225">
        <v>3680</v>
      </c>
      <c r="C30" s="225">
        <v>6010</v>
      </c>
      <c r="D30" s="224">
        <v>2379</v>
      </c>
      <c r="E30" s="224">
        <v>842</v>
      </c>
      <c r="F30" s="224">
        <v>1477</v>
      </c>
    </row>
    <row r="31" spans="1:6">
      <c r="A31" s="206" t="s">
        <v>38</v>
      </c>
      <c r="B31" s="232">
        <v>98740</v>
      </c>
      <c r="C31" s="232">
        <v>89166</v>
      </c>
      <c r="D31" s="232">
        <v>96085</v>
      </c>
      <c r="E31" s="232">
        <v>88462</v>
      </c>
      <c r="F31" s="232">
        <v>83487</v>
      </c>
    </row>
    <row r="32" spans="1:6">
      <c r="A32" s="204" t="s">
        <v>394</v>
      </c>
      <c r="B32" s="232">
        <v>910471</v>
      </c>
      <c r="C32" s="232">
        <v>882894</v>
      </c>
      <c r="D32" s="232">
        <v>812822</v>
      </c>
      <c r="E32" s="232">
        <v>745765</v>
      </c>
      <c r="F32" s="232">
        <v>719755</v>
      </c>
    </row>
    <row r="33" spans="1:6">
      <c r="A33" s="221"/>
      <c r="B33" s="225"/>
      <c r="C33" s="225"/>
      <c r="D33" s="225"/>
      <c r="E33" s="225"/>
      <c r="F33" s="225"/>
    </row>
    <row r="34" spans="1:6">
      <c r="A34" s="204" t="s">
        <v>405</v>
      </c>
      <c r="B34" s="226"/>
      <c r="C34" s="223"/>
      <c r="D34" s="223"/>
      <c r="E34" s="223"/>
      <c r="F34" s="223"/>
    </row>
    <row r="35" spans="1:6">
      <c r="A35" s="206" t="s">
        <v>379</v>
      </c>
      <c r="B35" s="223">
        <v>0.19707895019780969</v>
      </c>
      <c r="C35" s="223">
        <v>0.18803916606279367</v>
      </c>
      <c r="D35" s="223">
        <v>0.19586086316472559</v>
      </c>
      <c r="E35" s="223">
        <v>0.22253655330735245</v>
      </c>
      <c r="F35" s="223">
        <v>0.21214257663093694</v>
      </c>
    </row>
    <row r="36" spans="1:6">
      <c r="A36" s="206" t="s">
        <v>100</v>
      </c>
      <c r="B36" s="223">
        <v>0.21172411736952632</v>
      </c>
      <c r="C36" s="223">
        <v>0.20331469650001366</v>
      </c>
      <c r="D36" s="223">
        <v>0.21229496749986632</v>
      </c>
      <c r="E36" s="223">
        <v>0.2408680622267596</v>
      </c>
      <c r="F36" s="223">
        <v>0.21239405109099627</v>
      </c>
    </row>
    <row r="37" spans="1:6">
      <c r="A37" s="206" t="s">
        <v>366</v>
      </c>
      <c r="B37" s="223">
        <v>0.24117590660828295</v>
      </c>
      <c r="C37" s="223">
        <v>0.24040320014656363</v>
      </c>
      <c r="D37" s="223">
        <v>0.23789344099150228</v>
      </c>
      <c r="E37" s="223">
        <v>0.2697713667775104</v>
      </c>
      <c r="F37" s="223">
        <v>0.24029644496171618</v>
      </c>
    </row>
    <row r="38" spans="1:6">
      <c r="A38" s="206"/>
      <c r="B38" s="223"/>
      <c r="C38" s="223"/>
      <c r="D38" s="223"/>
      <c r="E38" s="223"/>
      <c r="F38" s="223"/>
    </row>
    <row r="39" spans="1:6">
      <c r="A39" s="204" t="s">
        <v>347</v>
      </c>
      <c r="B39" s="223"/>
      <c r="C39" s="223"/>
      <c r="D39" s="223"/>
      <c r="E39" s="223"/>
      <c r="F39" s="223"/>
    </row>
    <row r="40" spans="1:6">
      <c r="A40" s="206" t="s">
        <v>348</v>
      </c>
      <c r="B40" s="225">
        <v>1477968</v>
      </c>
      <c r="C40" s="225">
        <v>1415353</v>
      </c>
      <c r="D40" s="225">
        <v>1256916</v>
      </c>
      <c r="E40" s="225">
        <v>1114450</v>
      </c>
      <c r="F40" s="225">
        <v>1022521</v>
      </c>
    </row>
    <row r="41" spans="1:6">
      <c r="A41" s="206" t="s">
        <v>349</v>
      </c>
      <c r="B41" s="225">
        <v>15953</v>
      </c>
      <c r="C41" s="225">
        <v>32118</v>
      </c>
      <c r="D41" s="225">
        <v>4796</v>
      </c>
      <c r="E41" s="225">
        <v>9124</v>
      </c>
      <c r="F41" s="225">
        <v>10217</v>
      </c>
    </row>
    <row r="42" spans="1:6">
      <c r="A42" s="206" t="s">
        <v>350</v>
      </c>
      <c r="B42" s="225">
        <v>10326</v>
      </c>
      <c r="C42" s="225">
        <v>10174</v>
      </c>
      <c r="D42" s="225">
        <v>720</v>
      </c>
      <c r="E42" s="225">
        <v>512</v>
      </c>
      <c r="F42" s="225">
        <v>577</v>
      </c>
    </row>
    <row r="43" spans="1:6">
      <c r="A43" s="206" t="s">
        <v>351</v>
      </c>
      <c r="B43" s="232">
        <v>46087</v>
      </c>
      <c r="C43" s="232">
        <v>59723</v>
      </c>
      <c r="D43" s="232">
        <v>102016</v>
      </c>
      <c r="E43" s="232">
        <v>65425</v>
      </c>
      <c r="F43" s="232">
        <v>52299</v>
      </c>
    </row>
    <row r="44" spans="1:6">
      <c r="A44" s="204" t="s">
        <v>352</v>
      </c>
      <c r="B44" s="233">
        <v>1550334</v>
      </c>
      <c r="C44" s="233">
        <v>1517368</v>
      </c>
      <c r="D44" s="233">
        <v>1364448</v>
      </c>
      <c r="E44" s="233">
        <v>1189511</v>
      </c>
      <c r="F44" s="233">
        <v>1085614</v>
      </c>
    </row>
    <row r="45" spans="1:6">
      <c r="A45" s="204" t="s">
        <v>124</v>
      </c>
      <c r="B45" s="232">
        <v>192769</v>
      </c>
      <c r="C45" s="232">
        <v>179321</v>
      </c>
      <c r="D45" s="232">
        <v>171641</v>
      </c>
      <c r="E45" s="232">
        <v>179631</v>
      </c>
      <c r="F45" s="232">
        <v>152873</v>
      </c>
    </row>
    <row r="46" spans="1:6">
      <c r="A46" s="204" t="s">
        <v>347</v>
      </c>
      <c r="B46" s="234">
        <v>0.12434030344429006</v>
      </c>
      <c r="C46" s="234">
        <v>0.77</v>
      </c>
      <c r="D46" s="234">
        <v>0.12579519336757428</v>
      </c>
      <c r="E46" s="234">
        <v>0.15101247487412894</v>
      </c>
      <c r="F46" s="234">
        <v>0.14081708599925941</v>
      </c>
    </row>
    <row r="47" spans="1:6">
      <c r="A47" s="208"/>
      <c r="B47" s="223"/>
      <c r="C47" s="223"/>
      <c r="D47" s="223"/>
      <c r="E47" s="223"/>
      <c r="F47" s="223"/>
    </row>
    <row r="48" spans="1:6">
      <c r="A48" s="204" t="s">
        <v>346</v>
      </c>
      <c r="B48" s="223"/>
      <c r="C48" s="223"/>
      <c r="D48" s="223"/>
      <c r="E48" s="223"/>
      <c r="F48" s="223"/>
    </row>
    <row r="49" spans="1:6">
      <c r="A49" s="206" t="s">
        <v>399</v>
      </c>
      <c r="B49" s="253">
        <v>2.8474252690544165E-2</v>
      </c>
      <c r="C49" s="253">
        <v>2.9596685767413089E-2</v>
      </c>
      <c r="D49" s="253">
        <v>3.726214213238159E-2</v>
      </c>
      <c r="E49" s="253">
        <v>1.7207791849338738E-2</v>
      </c>
      <c r="F49" s="253">
        <v>1.4331638812475197E-3</v>
      </c>
    </row>
    <row r="50" spans="1:6">
      <c r="A50" s="206" t="s">
        <v>392</v>
      </c>
      <c r="B50" s="223">
        <v>0.59676719504585518</v>
      </c>
      <c r="C50" s="223">
        <v>0.60240759984416037</v>
      </c>
      <c r="D50" s="223">
        <v>0.61865002770454169</v>
      </c>
      <c r="E50" s="223">
        <v>0.63593517897921559</v>
      </c>
      <c r="F50" s="223">
        <v>0.66529710543464693</v>
      </c>
    </row>
    <row r="52" spans="1:6" ht="21" customHeight="1">
      <c r="A52" s="211" t="s">
        <v>423</v>
      </c>
    </row>
    <row r="53" spans="1:6">
      <c r="A53" s="267"/>
    </row>
    <row r="54" spans="1:6">
      <c r="A54" s="211"/>
    </row>
    <row r="60" spans="1:6">
      <c r="A60" s="208"/>
      <c r="B60" s="207"/>
      <c r="C60" s="207"/>
      <c r="D60" s="207"/>
      <c r="E60" s="207"/>
      <c r="F60" s="207"/>
    </row>
    <row r="61" spans="1:6">
      <c r="B61" s="207"/>
      <c r="C61" s="207"/>
      <c r="D61" s="207"/>
      <c r="E61" s="207"/>
      <c r="F61" s="207"/>
    </row>
    <row r="62" spans="1:6">
      <c r="A62" s="221"/>
      <c r="B62" s="210"/>
      <c r="C62" s="210"/>
      <c r="D62" s="210"/>
      <c r="E62" s="210"/>
      <c r="F62" s="210"/>
    </row>
    <row r="63" spans="1:6">
      <c r="A63" s="208"/>
      <c r="B63" s="207"/>
      <c r="C63" s="207"/>
      <c r="D63" s="207"/>
      <c r="E63" s="207"/>
      <c r="F63" s="207"/>
    </row>
    <row r="64" spans="1:6">
      <c r="A64" s="208"/>
      <c r="B64" s="207"/>
      <c r="C64" s="207"/>
      <c r="D64" s="207"/>
      <c r="E64" s="207"/>
      <c r="F64" s="207"/>
    </row>
    <row r="65" spans="1:6">
      <c r="A65" s="208"/>
      <c r="B65" s="207"/>
      <c r="C65" s="207"/>
      <c r="D65" s="207"/>
      <c r="E65" s="207"/>
      <c r="F65" s="207"/>
    </row>
  </sheetData>
  <pageMargins left="0.70866141732283472" right="0.70866141732283472" top="0.74803149606299213" bottom="0.74803149606299213" header="0.31496062992125984" footer="0.31496062992125984"/>
  <pageSetup paperSize="9" scale="80" firstPageNumber="8" orientation="portrait" useFirstPageNumber="1" r:id="rId1"/>
  <headerFooter>
    <oddFooter>&amp;L&amp;8______________________________________________________&amp;"-,Italic"
Arion Bank Factbook 31.12.2023&amp;C&amp;8&amp;P&amp;R&amp;8__________________________&amp;"-,Italic"____________________________
All amounts are in ISK millions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6"/>
  <sheetViews>
    <sheetView zoomScaleNormal="100" zoomScaleSheetLayoutView="100" workbookViewId="0"/>
  </sheetViews>
  <sheetFormatPr defaultColWidth="9.1796875" defaultRowHeight="14"/>
  <cols>
    <col min="1" max="1" width="42.26953125" style="209" customWidth="1"/>
    <col min="2" max="10" width="9" style="209" customWidth="1"/>
    <col min="11" max="11" width="40.26953125" style="209" customWidth="1"/>
    <col min="12" max="16384" width="9.1796875" style="209"/>
  </cols>
  <sheetData>
    <row r="1" spans="1:11" ht="27.75" customHeight="1">
      <c r="A1" s="258" t="s">
        <v>318</v>
      </c>
      <c r="B1" s="261"/>
      <c r="C1" s="261"/>
      <c r="D1" s="261"/>
      <c r="E1" s="261"/>
      <c r="F1" s="261"/>
      <c r="G1" s="261"/>
      <c r="H1" s="261"/>
      <c r="I1" s="261"/>
      <c r="J1" s="261"/>
    </row>
    <row r="2" spans="1:11">
      <c r="A2" s="259" t="s">
        <v>306</v>
      </c>
      <c r="B2" s="260" t="s">
        <v>413</v>
      </c>
      <c r="C2" s="260" t="s">
        <v>412</v>
      </c>
      <c r="D2" s="260" t="s">
        <v>411</v>
      </c>
      <c r="E2" s="260" t="s">
        <v>410</v>
      </c>
      <c r="F2" s="260" t="s">
        <v>409</v>
      </c>
      <c r="G2" s="260" t="s">
        <v>408</v>
      </c>
      <c r="H2" s="260" t="s">
        <v>407</v>
      </c>
      <c r="I2" s="260" t="s">
        <v>406</v>
      </c>
      <c r="J2" s="260" t="s">
        <v>401</v>
      </c>
    </row>
    <row r="3" spans="1:11">
      <c r="A3" s="202"/>
      <c r="B3" s="203"/>
      <c r="C3" s="203"/>
      <c r="D3" s="203"/>
      <c r="E3" s="203"/>
      <c r="F3" s="203"/>
      <c r="G3" s="203"/>
      <c r="H3" s="203"/>
      <c r="I3" s="203"/>
      <c r="J3" s="203"/>
    </row>
    <row r="4" spans="1:11">
      <c r="A4" s="204" t="s">
        <v>116</v>
      </c>
      <c r="B4" s="205"/>
      <c r="C4" s="205"/>
      <c r="D4" s="205"/>
      <c r="E4" s="205"/>
      <c r="F4" s="205"/>
      <c r="G4" s="205"/>
      <c r="H4" s="205"/>
      <c r="I4" s="205"/>
      <c r="J4" s="205"/>
    </row>
    <row r="5" spans="1:11">
      <c r="A5" s="206" t="s">
        <v>126</v>
      </c>
      <c r="B5" s="234">
        <v>0.12706546453972201</v>
      </c>
      <c r="C5" s="234">
        <v>0.12945660321582786</v>
      </c>
      <c r="D5" s="234">
        <v>0.15488958301478781</v>
      </c>
      <c r="E5" s="234">
        <v>0.13680250511025094</v>
      </c>
      <c r="F5" s="234">
        <v>0.1061722653023584</v>
      </c>
      <c r="G5" s="234">
        <v>0.10874250196780935</v>
      </c>
      <c r="H5" s="234">
        <v>0.22629401334121421</v>
      </c>
      <c r="I5" s="234">
        <v>0.12948125685176196</v>
      </c>
      <c r="J5" s="234">
        <v>0.13406718776498158</v>
      </c>
    </row>
    <row r="6" spans="1:11">
      <c r="A6" s="206" t="s">
        <v>127</v>
      </c>
      <c r="B6" s="234">
        <v>1.6337394288317153E-2</v>
      </c>
      <c r="C6" s="234">
        <v>1.613122137233769E-2</v>
      </c>
      <c r="D6" s="234">
        <v>1.8923967335373382E-2</v>
      </c>
      <c r="E6" s="234">
        <v>1.70751186839877E-2</v>
      </c>
      <c r="F6" s="234">
        <v>1.3816620149183167E-2</v>
      </c>
      <c r="G6" s="234">
        <v>1.3910680503197215E-2</v>
      </c>
      <c r="H6" s="234">
        <v>2.882527264868906E-2</v>
      </c>
      <c r="I6" s="234">
        <v>1.7647090431614165E-2</v>
      </c>
      <c r="J6" s="234">
        <v>1.9760120251065549E-2</v>
      </c>
    </row>
    <row r="7" spans="1:11">
      <c r="A7" s="206" t="s">
        <v>417</v>
      </c>
      <c r="B7" s="234">
        <v>2.7393461923572063E-2</v>
      </c>
      <c r="C7" s="234">
        <v>2.6965911608679803E-2</v>
      </c>
      <c r="D7" s="234">
        <v>3.1189932658599775E-2</v>
      </c>
      <c r="E7" s="234">
        <v>2.8116421022287324E-2</v>
      </c>
      <c r="F7" s="234">
        <v>2.2675969980030075E-2</v>
      </c>
      <c r="G7" s="234">
        <v>2.2522621618335813E-2</v>
      </c>
      <c r="H7" s="234">
        <v>4.4929993500139945E-2</v>
      </c>
      <c r="I7" s="234">
        <v>2.7647163647163648E-2</v>
      </c>
      <c r="J7" s="234">
        <v>3.2750437971827945E-2</v>
      </c>
    </row>
    <row r="8" spans="1:11" s="198" customFormat="1" ht="14.5">
      <c r="A8" s="206" t="s">
        <v>416</v>
      </c>
      <c r="B8" s="234">
        <v>7.1793404707150954E-2</v>
      </c>
      <c r="C8" s="234">
        <v>6.5912763230741397E-2</v>
      </c>
      <c r="D8" s="234">
        <v>7.6287997747955791E-2</v>
      </c>
      <c r="E8" s="234">
        <v>7.3008163946747015E-2</v>
      </c>
      <c r="F8" s="234">
        <v>7.0935785197860743E-2</v>
      </c>
      <c r="G8" s="234">
        <v>6.4302709962774915E-2</v>
      </c>
      <c r="H8" s="234">
        <v>6.1343874980627641E-2</v>
      </c>
      <c r="I8" s="234">
        <v>6.8970596970596973E-2</v>
      </c>
      <c r="J8" s="234">
        <v>7.6498033128308329E-2</v>
      </c>
    </row>
    <row r="9" spans="1:11">
      <c r="A9" s="206"/>
      <c r="B9" s="224"/>
      <c r="C9" s="224"/>
      <c r="D9" s="224"/>
      <c r="E9" s="224"/>
      <c r="F9" s="224"/>
      <c r="G9" s="224"/>
      <c r="H9" s="224"/>
      <c r="I9" s="224"/>
      <c r="J9" s="224"/>
    </row>
    <row r="10" spans="1:11">
      <c r="A10" s="204" t="s">
        <v>9</v>
      </c>
      <c r="B10" s="224"/>
      <c r="C10" s="224"/>
      <c r="D10" s="224"/>
      <c r="E10" s="224"/>
      <c r="F10" s="224"/>
      <c r="G10" s="224"/>
      <c r="H10" s="224"/>
      <c r="I10" s="224"/>
      <c r="J10" s="224"/>
    </row>
    <row r="11" spans="1:11" s="215" customFormat="1">
      <c r="A11" s="206" t="s">
        <v>353</v>
      </c>
      <c r="B11" s="223">
        <v>3.0848856622548538E-2</v>
      </c>
      <c r="C11" s="223">
        <v>2.9728252764640466E-2</v>
      </c>
      <c r="D11" s="223">
        <v>3.1649947660048826E-2</v>
      </c>
      <c r="E11" s="223">
        <v>3.1128077018231018E-2</v>
      </c>
      <c r="F11" s="223">
        <v>3.0658415120456421E-2</v>
      </c>
      <c r="G11" s="223">
        <v>3.1506114085815745E-2</v>
      </c>
      <c r="H11" s="223">
        <v>3.0786393210255288E-2</v>
      </c>
      <c r="I11" s="223">
        <v>3.0948828498771508E-2</v>
      </c>
      <c r="J11" s="223">
        <v>2.8338292662148844E-2</v>
      </c>
      <c r="K11" s="209"/>
    </row>
    <row r="12" spans="1:11">
      <c r="A12" s="206" t="s">
        <v>321</v>
      </c>
      <c r="B12" s="223">
        <v>2.9604013382725534E-2</v>
      </c>
      <c r="C12" s="223">
        <v>2.855410205319241E-2</v>
      </c>
      <c r="D12" s="223">
        <v>3.027887918327056E-2</v>
      </c>
      <c r="E12" s="223">
        <v>2.9650876037883484E-2</v>
      </c>
      <c r="F12" s="223">
        <v>2.9409779935362437E-2</v>
      </c>
      <c r="G12" s="223">
        <v>2.9655167262072669E-2</v>
      </c>
      <c r="H12" s="223">
        <v>2.8788977732882685E-2</v>
      </c>
      <c r="I12" s="223">
        <v>2.8710913002061487E-2</v>
      </c>
      <c r="J12" s="223">
        <v>2.637036101349045E-2</v>
      </c>
    </row>
    <row r="13" spans="1:11">
      <c r="A13" s="206" t="s">
        <v>389</v>
      </c>
      <c r="B13" s="223">
        <v>5.7277128016677857E-2</v>
      </c>
      <c r="C13" s="223">
        <v>5.4831601745189744E-2</v>
      </c>
      <c r="D13" s="223">
        <v>5.760753042249598E-2</v>
      </c>
      <c r="E13" s="223">
        <v>5.6365973798589313E-2</v>
      </c>
      <c r="F13" s="223">
        <v>5.5536604205631293E-2</v>
      </c>
      <c r="G13" s="223">
        <v>5.5407273500638024E-2</v>
      </c>
      <c r="H13" s="223">
        <v>5.2841212264939069E-2</v>
      </c>
      <c r="I13" s="223">
        <v>5.3117251817752301E-2</v>
      </c>
      <c r="J13" s="223">
        <v>5.1472768099564116E-2</v>
      </c>
    </row>
    <row r="14" spans="1:11">
      <c r="A14" s="208"/>
      <c r="B14" s="223"/>
      <c r="C14" s="223"/>
      <c r="D14" s="223"/>
      <c r="E14" s="223"/>
      <c r="F14" s="223"/>
      <c r="G14" s="223"/>
      <c r="H14" s="223"/>
      <c r="I14" s="223"/>
      <c r="J14" s="223"/>
    </row>
    <row r="15" spans="1:11">
      <c r="A15" s="204" t="s">
        <v>117</v>
      </c>
      <c r="B15" s="223"/>
      <c r="C15" s="223"/>
      <c r="D15" s="223"/>
      <c r="E15" s="223"/>
      <c r="F15" s="223"/>
      <c r="G15" s="223"/>
      <c r="H15" s="223"/>
      <c r="I15" s="223"/>
      <c r="J15" s="223"/>
    </row>
    <row r="16" spans="1:11">
      <c r="A16" s="206" t="s">
        <v>428</v>
      </c>
      <c r="B16" s="223">
        <v>0.38200000000000001</v>
      </c>
      <c r="C16" s="223">
        <v>0.39400000000000002</v>
      </c>
      <c r="D16" s="223">
        <v>0.46800000000000003</v>
      </c>
      <c r="E16" s="223">
        <v>0.53400000000000003</v>
      </c>
      <c r="F16" s="223">
        <v>0.375</v>
      </c>
      <c r="G16" s="223">
        <v>0.42</v>
      </c>
      <c r="H16" s="223">
        <v>0.47399999999999998</v>
      </c>
      <c r="I16" s="223">
        <v>0.47582872928176795</v>
      </c>
      <c r="J16" s="223">
        <v>0.57373103850641771</v>
      </c>
    </row>
    <row r="17" spans="1:10">
      <c r="A17" s="206" t="s">
        <v>128</v>
      </c>
      <c r="B17" s="234">
        <v>0.53193967631191763</v>
      </c>
      <c r="C17" s="234">
        <v>0.40324302682503671</v>
      </c>
      <c r="D17" s="234">
        <v>0.38918357933579334</v>
      </c>
      <c r="E17" s="234">
        <v>0.46811249115129672</v>
      </c>
      <c r="F17" s="234">
        <v>0.56858996244452031</v>
      </c>
      <c r="G17" s="234">
        <v>0.42963839384751906</v>
      </c>
      <c r="H17" s="234">
        <v>0.50736360167874861</v>
      </c>
      <c r="I17" s="234">
        <v>0.44229671897289585</v>
      </c>
      <c r="J17" s="234">
        <v>0.51641066036497307</v>
      </c>
    </row>
    <row r="18" spans="1:10">
      <c r="A18" s="206" t="s">
        <v>129</v>
      </c>
      <c r="B18" s="223">
        <v>2.2638056237059088E-2</v>
      </c>
      <c r="C18" s="223">
        <v>1.5804399954885671E-2</v>
      </c>
      <c r="D18" s="223">
        <v>1.7887487702352205E-2</v>
      </c>
      <c r="E18" s="223">
        <v>1.961801639981485E-2</v>
      </c>
      <c r="F18" s="223">
        <v>2.3053302976726257E-2</v>
      </c>
      <c r="G18" s="223">
        <v>1.6533588119435966E-2</v>
      </c>
      <c r="H18" s="223">
        <v>1.9524470924718176E-2</v>
      </c>
      <c r="I18" s="223">
        <v>1.8685597347374402E-2</v>
      </c>
      <c r="J18" s="223">
        <v>2.3660541753322235E-2</v>
      </c>
    </row>
    <row r="19" spans="1:10">
      <c r="A19" s="206" t="s">
        <v>418</v>
      </c>
      <c r="B19" s="225">
        <v>822</v>
      </c>
      <c r="C19" s="225">
        <v>800</v>
      </c>
      <c r="D19" s="225">
        <v>781</v>
      </c>
      <c r="E19" s="225">
        <v>789</v>
      </c>
      <c r="F19" s="225">
        <v>781</v>
      </c>
      <c r="G19" s="225">
        <v>777</v>
      </c>
      <c r="H19" s="225">
        <v>746</v>
      </c>
      <c r="I19" s="225">
        <v>753</v>
      </c>
      <c r="J19" s="225">
        <v>751</v>
      </c>
    </row>
    <row r="20" spans="1:10">
      <c r="A20" s="206"/>
      <c r="B20" s="223"/>
      <c r="C20" s="223"/>
      <c r="D20" s="223"/>
      <c r="E20" s="223"/>
      <c r="F20" s="223"/>
      <c r="G20" s="223"/>
      <c r="H20" s="223"/>
      <c r="I20" s="223"/>
      <c r="J20" s="223"/>
    </row>
    <row r="21" spans="1:10">
      <c r="A21" s="204" t="s">
        <v>119</v>
      </c>
      <c r="B21" s="223"/>
      <c r="C21" s="223"/>
      <c r="D21" s="223"/>
      <c r="E21" s="223"/>
      <c r="F21" s="223"/>
      <c r="G21" s="223"/>
      <c r="H21" s="223"/>
      <c r="I21" s="223"/>
      <c r="J21" s="223"/>
    </row>
    <row r="22" spans="1:10">
      <c r="A22" s="206" t="s">
        <v>429</v>
      </c>
      <c r="B22" s="223">
        <v>1.7267122461983572E-2</v>
      </c>
      <c r="C22" s="223">
        <v>1.5531489587374828E-2</v>
      </c>
      <c r="D22" s="223">
        <v>1.5511639858208309E-2</v>
      </c>
      <c r="E22" s="223">
        <v>1.3819533569560102E-2</v>
      </c>
      <c r="F22" s="223">
        <v>1.1985273978563178E-2</v>
      </c>
      <c r="G22" s="223">
        <v>1.4091782214976352E-2</v>
      </c>
      <c r="H22" s="223">
        <v>1.4359498045992812E-2</v>
      </c>
      <c r="I22" s="223">
        <v>1.6332522311564426E-2</v>
      </c>
      <c r="J22" s="223">
        <v>1.896302009774993E-2</v>
      </c>
    </row>
    <row r="23" spans="1:10">
      <c r="A23" s="206" t="s">
        <v>33</v>
      </c>
      <c r="B23" s="223">
        <v>0.59676719504585518</v>
      </c>
      <c r="C23" s="223">
        <v>0.58882797018697719</v>
      </c>
      <c r="D23" s="223">
        <v>0.60050348235374706</v>
      </c>
      <c r="E23" s="223">
        <v>0.604468481531929</v>
      </c>
      <c r="F23" s="223">
        <v>0.60240759984416037</v>
      </c>
      <c r="G23" s="223">
        <v>0.61005223160552846</v>
      </c>
      <c r="H23" s="223">
        <v>0.62251310874457666</v>
      </c>
      <c r="I23" s="223">
        <v>0.64926790528070155</v>
      </c>
      <c r="J23" s="223">
        <v>0.62013870345080147</v>
      </c>
    </row>
    <row r="24" spans="1:10">
      <c r="A24" s="206"/>
      <c r="B24" s="223"/>
      <c r="C24" s="223"/>
      <c r="D24" s="223"/>
      <c r="E24" s="223"/>
      <c r="F24" s="223"/>
      <c r="G24" s="223"/>
      <c r="H24" s="223"/>
      <c r="I24" s="223"/>
      <c r="J24" s="223"/>
    </row>
    <row r="25" spans="1:10">
      <c r="A25" s="211" t="s">
        <v>431</v>
      </c>
      <c r="B25" s="223"/>
      <c r="C25" s="223"/>
      <c r="D25" s="223"/>
      <c r="E25" s="223"/>
      <c r="F25" s="223"/>
      <c r="G25" s="223"/>
      <c r="H25" s="223"/>
      <c r="I25" s="223"/>
      <c r="J25" s="223"/>
    </row>
    <row r="26" spans="1:10">
      <c r="A26" s="211" t="s">
        <v>430</v>
      </c>
      <c r="B26" s="223"/>
      <c r="C26" s="223"/>
      <c r="D26" s="223"/>
      <c r="E26" s="223"/>
      <c r="F26" s="223"/>
      <c r="G26" s="223"/>
      <c r="H26" s="223"/>
      <c r="I26" s="223"/>
      <c r="J26" s="223"/>
    </row>
    <row r="27" spans="1:10" s="211" customFormat="1" ht="11.5">
      <c r="B27" s="206"/>
      <c r="C27" s="206"/>
      <c r="D27" s="206"/>
      <c r="E27" s="206"/>
      <c r="F27" s="206"/>
      <c r="G27" s="206"/>
      <c r="H27" s="206"/>
      <c r="I27" s="206"/>
      <c r="J27" s="206"/>
    </row>
    <row r="28" spans="1:10">
      <c r="A28" s="206"/>
      <c r="B28" s="223"/>
      <c r="C28" s="223"/>
      <c r="D28" s="223"/>
      <c r="E28" s="223"/>
      <c r="F28" s="223"/>
      <c r="G28" s="226"/>
      <c r="H28" s="226"/>
      <c r="I28" s="226"/>
      <c r="J28" s="226"/>
    </row>
    <row r="29" spans="1:10">
      <c r="A29" s="204" t="s">
        <v>122</v>
      </c>
      <c r="B29" s="223"/>
      <c r="C29" s="223"/>
      <c r="D29" s="223"/>
      <c r="E29" s="223"/>
      <c r="F29" s="223"/>
      <c r="G29" s="226"/>
      <c r="H29" s="226"/>
      <c r="I29" s="226"/>
      <c r="J29" s="226"/>
    </row>
    <row r="30" spans="1:10">
      <c r="A30" s="206" t="s">
        <v>123</v>
      </c>
      <c r="B30" s="223">
        <v>0.13063161675641946</v>
      </c>
      <c r="C30" s="223">
        <v>0.12498466575234525</v>
      </c>
      <c r="D30" s="223">
        <v>0.12271954241331659</v>
      </c>
      <c r="E30" s="223">
        <v>0.11990318823118608</v>
      </c>
      <c r="F30" s="223">
        <v>0.12824429980984015</v>
      </c>
      <c r="G30" s="223">
        <v>0.13072156579651442</v>
      </c>
      <c r="H30" s="223">
        <v>0.13215833159323451</v>
      </c>
      <c r="I30" s="223">
        <v>0.12901645395465375</v>
      </c>
      <c r="J30" s="223">
        <v>0.14776800360110171</v>
      </c>
    </row>
    <row r="31" spans="1:10">
      <c r="A31" s="208"/>
      <c r="B31" s="223"/>
      <c r="C31" s="223"/>
      <c r="D31" s="223"/>
      <c r="E31" s="223"/>
      <c r="F31" s="223"/>
      <c r="G31" s="226"/>
      <c r="H31" s="226"/>
      <c r="I31" s="226"/>
      <c r="J31" s="226"/>
    </row>
    <row r="32" spans="1:10">
      <c r="A32" s="204" t="s">
        <v>118</v>
      </c>
      <c r="B32" s="223"/>
      <c r="C32" s="223"/>
      <c r="D32" s="223"/>
      <c r="E32" s="223"/>
      <c r="F32" s="223"/>
      <c r="G32" s="226"/>
      <c r="H32" s="226"/>
      <c r="I32" s="226"/>
      <c r="J32" s="226"/>
    </row>
    <row r="33" spans="1:10">
      <c r="A33" s="206" t="s">
        <v>304</v>
      </c>
      <c r="B33" s="223">
        <v>1.9181738046749142</v>
      </c>
      <c r="C33" s="223">
        <v>1.7905092259420248</v>
      </c>
      <c r="D33" s="223">
        <v>1.6285089043163297</v>
      </c>
      <c r="E33" s="223">
        <v>1.7357522826518459</v>
      </c>
      <c r="F33" s="223">
        <v>1.5847739539357666</v>
      </c>
      <c r="G33" s="223">
        <v>1.8928658433746228</v>
      </c>
      <c r="H33" s="223">
        <v>1.6318375484064465</v>
      </c>
      <c r="I33" s="223">
        <v>1.9541263097498669</v>
      </c>
      <c r="J33" s="223">
        <v>2.0283092783505157</v>
      </c>
    </row>
    <row r="34" spans="1:10">
      <c r="A34" s="206" t="s">
        <v>41</v>
      </c>
      <c r="B34" s="223">
        <v>1.454237993717753</v>
      </c>
      <c r="C34" s="223">
        <v>1.4181186138198829</v>
      </c>
      <c r="D34" s="223">
        <v>1.4524041157088692</v>
      </c>
      <c r="E34" s="223">
        <v>1.4375418535966029</v>
      </c>
      <c r="F34" s="223">
        <v>1.4360775840955518</v>
      </c>
      <c r="G34" s="223">
        <v>1.4124267367957306</v>
      </c>
      <c r="H34" s="223">
        <v>1.3902865129280224</v>
      </c>
      <c r="I34" s="223">
        <v>1.4360157370298194</v>
      </c>
      <c r="J34" s="223">
        <v>1.4283314720905114</v>
      </c>
    </row>
    <row r="35" spans="1:10">
      <c r="A35" s="206" t="s">
        <v>239</v>
      </c>
      <c r="B35" s="223">
        <v>1.1602187432983058</v>
      </c>
      <c r="C35" s="223">
        <v>1.1252649346236223</v>
      </c>
      <c r="D35" s="223">
        <v>1.1538859347518311</v>
      </c>
      <c r="E35" s="223">
        <v>1.1444602289222385</v>
      </c>
      <c r="F35" s="223">
        <v>1.1542811979967194</v>
      </c>
      <c r="G35" s="223">
        <v>1.1311568457597547</v>
      </c>
      <c r="H35" s="223">
        <v>1.0776685540093651</v>
      </c>
      <c r="I35" s="223">
        <v>1.1012214582490716</v>
      </c>
      <c r="J35" s="223">
        <v>1.1184147093104859</v>
      </c>
    </row>
    <row r="36" spans="1:10">
      <c r="A36" s="206" t="s">
        <v>120</v>
      </c>
      <c r="B36" s="223">
        <v>0.65192540495019535</v>
      </c>
      <c r="C36" s="223">
        <v>0.65693775577294244</v>
      </c>
      <c r="D36" s="223">
        <v>0.64641957860261823</v>
      </c>
      <c r="E36" s="223">
        <v>0.65130193998932739</v>
      </c>
      <c r="F36" s="223">
        <v>0.6513869222450841</v>
      </c>
      <c r="G36" s="223">
        <v>0.65974441891546098</v>
      </c>
      <c r="H36" s="223">
        <v>0.66393766776539009</v>
      </c>
      <c r="I36" s="223">
        <v>0.64494496061162254</v>
      </c>
      <c r="J36" s="223">
        <v>0.64444516543230268</v>
      </c>
    </row>
    <row r="37" spans="1:10">
      <c r="A37" s="206" t="s">
        <v>121</v>
      </c>
      <c r="B37" s="223">
        <v>0.19167861889285101</v>
      </c>
      <c r="C37" s="223">
        <v>0.19238687737645294</v>
      </c>
      <c r="D37" s="223">
        <v>0.19296849076915817</v>
      </c>
      <c r="E37" s="223">
        <v>0.19088536961481739</v>
      </c>
      <c r="F37" s="223">
        <v>0.18355872364864978</v>
      </c>
      <c r="G37" s="223">
        <v>0.18556599004458804</v>
      </c>
      <c r="H37" s="223">
        <v>0.20755826750582468</v>
      </c>
      <c r="I37" s="223">
        <v>0.21592229510218214</v>
      </c>
      <c r="J37" s="223">
        <v>0.19972314066243707</v>
      </c>
    </row>
    <row r="38" spans="1:10">
      <c r="B38" s="223"/>
      <c r="C38" s="223"/>
      <c r="D38" s="223"/>
      <c r="E38" s="223"/>
      <c r="F38" s="223"/>
      <c r="G38" s="226"/>
      <c r="H38" s="226"/>
      <c r="I38" s="226"/>
      <c r="J38" s="226"/>
    </row>
    <row r="39" spans="1:10">
      <c r="A39" s="204" t="s">
        <v>421</v>
      </c>
      <c r="B39" s="226"/>
      <c r="C39" s="226"/>
      <c r="D39" s="226"/>
      <c r="E39" s="226"/>
      <c r="F39" s="226"/>
      <c r="G39" s="226"/>
      <c r="H39" s="226"/>
      <c r="I39" s="226"/>
      <c r="J39" s="226"/>
    </row>
    <row r="40" spans="1:10">
      <c r="A40" s="206" t="s">
        <v>379</v>
      </c>
      <c r="B40" s="223">
        <v>0.19707895019780969</v>
      </c>
      <c r="C40" s="223">
        <v>0.19386170108897374</v>
      </c>
      <c r="D40" s="223">
        <v>0.1893075492450268</v>
      </c>
      <c r="E40" s="223">
        <v>0.18640761962752844</v>
      </c>
      <c r="F40" s="223">
        <v>0.18803916606279367</v>
      </c>
      <c r="G40" s="223">
        <v>0.19259145315781739</v>
      </c>
      <c r="H40" s="223">
        <v>0.19743773849416985</v>
      </c>
      <c r="I40" s="223">
        <v>0.186</v>
      </c>
      <c r="J40" s="223">
        <v>0.19586086316472559</v>
      </c>
    </row>
    <row r="41" spans="1:10">
      <c r="A41" s="206" t="s">
        <v>100</v>
      </c>
      <c r="B41" s="223">
        <v>0.21172411736952632</v>
      </c>
      <c r="C41" s="223">
        <v>0.20486200708714503</v>
      </c>
      <c r="D41" s="223">
        <v>0.20360280909844664</v>
      </c>
      <c r="E41" s="223">
        <v>0.2007082689033064</v>
      </c>
      <c r="F41" s="223">
        <v>0.20331469650001366</v>
      </c>
      <c r="G41" s="223">
        <v>0.20519512129719558</v>
      </c>
      <c r="H41" s="223">
        <v>0.20904475652934817</v>
      </c>
      <c r="I41" s="223">
        <v>0.19733102520865156</v>
      </c>
      <c r="J41" s="223">
        <v>0.21229496749986632</v>
      </c>
    </row>
    <row r="42" spans="1:10">
      <c r="A42" s="206" t="s">
        <v>109</v>
      </c>
      <c r="B42" s="223">
        <v>2.9451789238756632E-2</v>
      </c>
      <c r="C42" s="223">
        <v>3.940374431548993E-2</v>
      </c>
      <c r="D42" s="223">
        <v>3.5462291592182699E-2</v>
      </c>
      <c r="E42" s="223">
        <v>3.5952264429669312E-2</v>
      </c>
      <c r="F42" s="223">
        <v>3.7088503646549975E-2</v>
      </c>
      <c r="G42" s="223">
        <v>2.5407731247880566E-2</v>
      </c>
      <c r="H42" s="223">
        <v>2.609550932353738E-2</v>
      </c>
      <c r="I42" s="223">
        <v>2.6668974791348443E-2</v>
      </c>
      <c r="J42" s="223" t="s">
        <v>110</v>
      </c>
    </row>
    <row r="43" spans="1:10">
      <c r="A43" s="206" t="s">
        <v>366</v>
      </c>
      <c r="B43" s="223">
        <v>0.24</v>
      </c>
      <c r="C43" s="223">
        <v>0.246</v>
      </c>
      <c r="D43" s="223">
        <v>0.23799999999999999</v>
      </c>
      <c r="E43" s="223">
        <v>0.23899999999999999</v>
      </c>
      <c r="F43" s="223">
        <v>0.24</v>
      </c>
      <c r="G43" s="223">
        <v>0.23300000000000001</v>
      </c>
      <c r="H43" s="223">
        <v>0.23200000000000001</v>
      </c>
      <c r="I43" s="223">
        <v>0.22400000000000006</v>
      </c>
      <c r="J43" s="223">
        <v>0.23499999999999999</v>
      </c>
    </row>
    <row r="44" spans="1:10">
      <c r="A44" s="206" t="s">
        <v>347</v>
      </c>
      <c r="B44" s="223">
        <v>0.12434008985518603</v>
      </c>
      <c r="C44" s="223">
        <v>0.11782291199341938</v>
      </c>
      <c r="D44" s="223">
        <v>0.11685138138184073</v>
      </c>
      <c r="E44" s="223">
        <v>0.11288522230111367</v>
      </c>
      <c r="F44" s="223">
        <v>0.11842611680225232</v>
      </c>
      <c r="G44" s="223">
        <v>0.12045546901814119</v>
      </c>
      <c r="H44" s="223">
        <v>0.12672811038775683</v>
      </c>
      <c r="I44" s="223">
        <v>0.12541684259294192</v>
      </c>
      <c r="J44" s="223">
        <v>0.12646726002016934</v>
      </c>
    </row>
    <row r="45" spans="1:10">
      <c r="A45" s="211"/>
    </row>
    <row r="46" spans="1:10">
      <c r="A46" s="21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31.12.2023&amp;C&amp;8&amp;P&amp;R&amp;8______________________________________________________
</oddFooter>
  </headerFooter>
  <rowBreaks count="1" manualBreakCount="1">
    <brk id="28"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heetViews>
  <sheetFormatPr defaultColWidth="9.1796875" defaultRowHeight="14"/>
  <cols>
    <col min="1" max="1" width="45.7265625" style="209" customWidth="1"/>
    <col min="2" max="17" width="9.1796875" style="209"/>
    <col min="18" max="18" width="12" style="209" bestFit="1" customWidth="1"/>
    <col min="19" max="16384" width="9.1796875" style="209"/>
  </cols>
  <sheetData>
    <row r="1" spans="1:10" ht="27.75" customHeight="1">
      <c r="A1" s="258" t="s">
        <v>314</v>
      </c>
      <c r="B1" s="261"/>
      <c r="C1" s="261"/>
      <c r="D1" s="261"/>
      <c r="E1" s="261"/>
      <c r="F1" s="261"/>
      <c r="G1" s="261"/>
      <c r="H1" s="261"/>
      <c r="I1" s="261"/>
      <c r="J1" s="261"/>
    </row>
    <row r="2" spans="1:10">
      <c r="A2" s="259" t="s">
        <v>306</v>
      </c>
      <c r="B2" s="260" t="s">
        <v>413</v>
      </c>
      <c r="C2" s="260" t="s">
        <v>412</v>
      </c>
      <c r="D2" s="260" t="s">
        <v>411</v>
      </c>
      <c r="E2" s="260" t="s">
        <v>410</v>
      </c>
      <c r="F2" s="260" t="s">
        <v>409</v>
      </c>
      <c r="G2" s="260" t="s">
        <v>408</v>
      </c>
      <c r="H2" s="260" t="s">
        <v>407</v>
      </c>
      <c r="I2" s="260" t="s">
        <v>406</v>
      </c>
      <c r="J2" s="260" t="s">
        <v>401</v>
      </c>
    </row>
    <row r="3" spans="1:10">
      <c r="A3" s="202"/>
      <c r="B3" s="203"/>
      <c r="C3" s="203"/>
      <c r="D3" s="203"/>
      <c r="E3" s="203"/>
      <c r="F3" s="203"/>
      <c r="G3" s="203"/>
      <c r="H3" s="203"/>
      <c r="I3" s="203"/>
      <c r="J3" s="203"/>
    </row>
    <row r="4" spans="1:10">
      <c r="A4" s="206" t="s">
        <v>81</v>
      </c>
      <c r="B4" s="224">
        <v>32461</v>
      </c>
      <c r="C4" s="224">
        <v>30426</v>
      </c>
      <c r="D4" s="224">
        <v>31060</v>
      </c>
      <c r="E4" s="224">
        <v>29169</v>
      </c>
      <c r="F4" s="224">
        <v>22033</v>
      </c>
      <c r="G4" s="224">
        <v>23446</v>
      </c>
      <c r="H4" s="224">
        <v>20610</v>
      </c>
      <c r="I4" s="224">
        <v>17426</v>
      </c>
      <c r="J4" s="224">
        <v>15224</v>
      </c>
    </row>
    <row r="5" spans="1:10">
      <c r="A5" s="206" t="s">
        <v>82</v>
      </c>
      <c r="B5" s="227">
        <v>-21114</v>
      </c>
      <c r="C5" s="227">
        <v>-19508</v>
      </c>
      <c r="D5" s="227">
        <v>-19634</v>
      </c>
      <c r="E5" s="227">
        <v>-18175</v>
      </c>
      <c r="F5" s="227">
        <v>-11410</v>
      </c>
      <c r="G5" s="227">
        <v>-13089</v>
      </c>
      <c r="H5" s="227">
        <v>-10865</v>
      </c>
      <c r="I5" s="227">
        <v>-7950</v>
      </c>
      <c r="J5" s="227">
        <v>-6456</v>
      </c>
    </row>
    <row r="6" spans="1:10">
      <c r="A6" s="204" t="s">
        <v>0</v>
      </c>
      <c r="B6" s="249">
        <v>11347</v>
      </c>
      <c r="C6" s="249">
        <v>10918</v>
      </c>
      <c r="D6" s="249">
        <v>11426</v>
      </c>
      <c r="E6" s="249">
        <v>10994</v>
      </c>
      <c r="F6" s="249">
        <v>10623</v>
      </c>
      <c r="G6" s="249">
        <v>10357</v>
      </c>
      <c r="H6" s="249">
        <v>9745</v>
      </c>
      <c r="I6" s="249">
        <v>9476</v>
      </c>
      <c r="J6" s="249">
        <v>8768</v>
      </c>
    </row>
    <row r="7" spans="1:10">
      <c r="A7" s="206" t="s">
        <v>308</v>
      </c>
      <c r="B7" s="224">
        <v>4882</v>
      </c>
      <c r="C7" s="224">
        <v>4765</v>
      </c>
      <c r="D7" s="224">
        <v>5187</v>
      </c>
      <c r="E7" s="224">
        <v>5286</v>
      </c>
      <c r="F7" s="224">
        <v>5010</v>
      </c>
      <c r="G7" s="224">
        <v>4773</v>
      </c>
      <c r="H7" s="224">
        <v>4972</v>
      </c>
      <c r="I7" s="224">
        <v>3986</v>
      </c>
      <c r="J7" s="224">
        <v>4662</v>
      </c>
    </row>
    <row r="8" spans="1:10">
      <c r="A8" s="206" t="s">
        <v>309</v>
      </c>
      <c r="B8" s="227">
        <v>-979</v>
      </c>
      <c r="C8" s="227">
        <v>-917</v>
      </c>
      <c r="D8" s="227">
        <v>-1000</v>
      </c>
      <c r="E8" s="227">
        <v>-835</v>
      </c>
      <c r="F8" s="227">
        <v>-756</v>
      </c>
      <c r="G8" s="227">
        <v>-716</v>
      </c>
      <c r="H8" s="227">
        <v>-390</v>
      </c>
      <c r="I8" s="227">
        <v>-430</v>
      </c>
      <c r="J8" s="227">
        <v>-583</v>
      </c>
    </row>
    <row r="9" spans="1:10">
      <c r="A9" s="204" t="s">
        <v>307</v>
      </c>
      <c r="B9" s="249">
        <v>3903</v>
      </c>
      <c r="C9" s="249">
        <v>3848</v>
      </c>
      <c r="D9" s="249">
        <v>4187</v>
      </c>
      <c r="E9" s="249">
        <v>4451</v>
      </c>
      <c r="F9" s="249">
        <v>4254</v>
      </c>
      <c r="G9" s="249">
        <v>4057</v>
      </c>
      <c r="H9" s="249">
        <v>4582</v>
      </c>
      <c r="I9" s="249">
        <v>3556</v>
      </c>
      <c r="J9" s="249">
        <v>4079</v>
      </c>
    </row>
    <row r="10" spans="1:10">
      <c r="A10" s="206" t="s">
        <v>425</v>
      </c>
      <c r="B10" s="224">
        <v>4761</v>
      </c>
      <c r="C10" s="224">
        <v>4450</v>
      </c>
      <c r="D10" s="224">
        <v>4207</v>
      </c>
      <c r="E10" s="224">
        <v>3998</v>
      </c>
      <c r="F10" s="224">
        <v>3938</v>
      </c>
      <c r="G10" s="224">
        <v>3739</v>
      </c>
      <c r="H10" s="224">
        <v>3736</v>
      </c>
      <c r="I10" s="224">
        <v>3692</v>
      </c>
      <c r="J10" s="224">
        <v>0</v>
      </c>
    </row>
    <row r="11" spans="1:10">
      <c r="A11" s="206" t="s">
        <v>426</v>
      </c>
      <c r="B11" s="227">
        <v>-5045</v>
      </c>
      <c r="C11" s="227">
        <v>-4055</v>
      </c>
      <c r="D11" s="227">
        <v>-3445</v>
      </c>
      <c r="E11" s="227">
        <v>-4719</v>
      </c>
      <c r="F11" s="227">
        <v>-4170</v>
      </c>
      <c r="G11" s="227">
        <v>-3252</v>
      </c>
      <c r="H11" s="227">
        <v>-2812</v>
      </c>
      <c r="I11" s="227">
        <v>-4256</v>
      </c>
      <c r="J11" s="227">
        <v>0</v>
      </c>
    </row>
    <row r="12" spans="1:10">
      <c r="A12" s="204" t="s">
        <v>427</v>
      </c>
      <c r="B12" s="249">
        <v>-284</v>
      </c>
      <c r="C12" s="249">
        <v>395</v>
      </c>
      <c r="D12" s="249">
        <v>762</v>
      </c>
      <c r="E12" s="249">
        <v>-721</v>
      </c>
      <c r="F12" s="249">
        <v>-232</v>
      </c>
      <c r="G12" s="249">
        <v>487</v>
      </c>
      <c r="H12" s="249">
        <v>924</v>
      </c>
      <c r="I12" s="249">
        <v>-564</v>
      </c>
      <c r="J12" s="249">
        <v>0</v>
      </c>
    </row>
    <row r="13" spans="1:10">
      <c r="A13" s="206" t="s">
        <v>376</v>
      </c>
      <c r="B13" s="224">
        <v>0</v>
      </c>
      <c r="C13" s="224">
        <v>0</v>
      </c>
      <c r="D13" s="224">
        <v>0</v>
      </c>
      <c r="E13" s="224">
        <v>0</v>
      </c>
      <c r="F13" s="224">
        <v>0</v>
      </c>
      <c r="G13" s="224">
        <v>0</v>
      </c>
      <c r="H13" s="224">
        <v>0</v>
      </c>
      <c r="I13" s="224">
        <v>0</v>
      </c>
      <c r="J13" s="224">
        <v>865</v>
      </c>
    </row>
    <row r="14" spans="1:10">
      <c r="A14" s="206" t="s">
        <v>395</v>
      </c>
      <c r="B14" s="224">
        <v>1370</v>
      </c>
      <c r="C14" s="224">
        <v>-183</v>
      </c>
      <c r="D14" s="224">
        <v>-617</v>
      </c>
      <c r="E14" s="224">
        <v>796</v>
      </c>
      <c r="F14" s="224">
        <v>-52</v>
      </c>
      <c r="G14" s="224">
        <v>-1476</v>
      </c>
      <c r="H14" s="224">
        <v>-2878</v>
      </c>
      <c r="I14" s="224">
        <v>1120</v>
      </c>
      <c r="J14" s="224">
        <v>1151</v>
      </c>
    </row>
    <row r="15" spans="1:10">
      <c r="A15" s="206" t="s">
        <v>10</v>
      </c>
      <c r="B15" s="227">
        <v>-24</v>
      </c>
      <c r="C15" s="227">
        <v>8</v>
      </c>
      <c r="D15" s="227">
        <v>1586</v>
      </c>
      <c r="E15" s="227">
        <v>19</v>
      </c>
      <c r="F15" s="227">
        <v>52</v>
      </c>
      <c r="G15" s="227">
        <v>98</v>
      </c>
      <c r="H15" s="227">
        <v>732</v>
      </c>
      <c r="I15" s="227">
        <v>432</v>
      </c>
      <c r="J15" s="227">
        <v>371</v>
      </c>
    </row>
    <row r="16" spans="1:10">
      <c r="A16" s="221" t="s">
        <v>396</v>
      </c>
      <c r="B16" s="244">
        <v>1346</v>
      </c>
      <c r="C16" s="244">
        <v>-175</v>
      </c>
      <c r="D16" s="244">
        <v>969</v>
      </c>
      <c r="E16" s="244">
        <v>815</v>
      </c>
      <c r="F16" s="244">
        <v>0</v>
      </c>
      <c r="G16" s="244">
        <v>-1378</v>
      </c>
      <c r="H16" s="244">
        <v>-2146</v>
      </c>
      <c r="I16" s="244">
        <v>1552</v>
      </c>
      <c r="J16" s="244">
        <v>2387</v>
      </c>
    </row>
    <row r="17" spans="1:18">
      <c r="A17" s="204" t="s">
        <v>4</v>
      </c>
      <c r="B17" s="249">
        <v>16312</v>
      </c>
      <c r="C17" s="249">
        <v>14986</v>
      </c>
      <c r="D17" s="249">
        <v>17344</v>
      </c>
      <c r="E17" s="249">
        <v>15539</v>
      </c>
      <c r="F17" s="249">
        <v>14645</v>
      </c>
      <c r="G17" s="249">
        <v>13523</v>
      </c>
      <c r="H17" s="249">
        <v>13105</v>
      </c>
      <c r="I17" s="249">
        <v>14020</v>
      </c>
      <c r="J17" s="249">
        <v>15234</v>
      </c>
    </row>
    <row r="18" spans="1:18">
      <c r="A18" s="206" t="s">
        <v>275</v>
      </c>
      <c r="B18" s="224">
        <v>-7830</v>
      </c>
      <c r="C18" s="224">
        <v>-5392</v>
      </c>
      <c r="D18" s="224">
        <v>-6009</v>
      </c>
      <c r="E18" s="224">
        <v>-6470</v>
      </c>
      <c r="F18" s="224">
        <v>-7474</v>
      </c>
      <c r="G18" s="224">
        <v>-5222</v>
      </c>
      <c r="H18" s="224">
        <v>-6056</v>
      </c>
      <c r="I18" s="224">
        <v>-5577</v>
      </c>
      <c r="J18" s="244">
        <v>0</v>
      </c>
    </row>
    <row r="19" spans="1:18" ht="18" customHeight="1">
      <c r="A19" s="206" t="s">
        <v>305</v>
      </c>
      <c r="B19" s="224">
        <v>0</v>
      </c>
      <c r="C19" s="224">
        <v>0</v>
      </c>
      <c r="D19" s="224">
        <v>0</v>
      </c>
      <c r="E19" s="224">
        <v>0</v>
      </c>
      <c r="F19" s="224">
        <v>0</v>
      </c>
      <c r="G19" s="224">
        <v>0</v>
      </c>
      <c r="H19" s="224">
        <v>0</v>
      </c>
      <c r="I19" s="224">
        <v>0</v>
      </c>
      <c r="J19" s="224">
        <v>-4893</v>
      </c>
    </row>
    <row r="20" spans="1:18">
      <c r="A20" s="206" t="s">
        <v>6</v>
      </c>
      <c r="B20" s="224">
        <v>0</v>
      </c>
      <c r="C20" s="224">
        <v>0</v>
      </c>
      <c r="D20" s="224">
        <v>0</v>
      </c>
      <c r="E20" s="224">
        <v>0</v>
      </c>
      <c r="F20" s="224">
        <v>0</v>
      </c>
      <c r="G20" s="224">
        <v>0</v>
      </c>
      <c r="H20" s="224">
        <v>0</v>
      </c>
      <c r="I20" s="224">
        <v>0</v>
      </c>
      <c r="J20" s="224">
        <v>-2974</v>
      </c>
    </row>
    <row r="21" spans="1:18">
      <c r="A21" s="204" t="s">
        <v>275</v>
      </c>
      <c r="B21" s="249">
        <v>-7830</v>
      </c>
      <c r="C21" s="249">
        <v>-5392</v>
      </c>
      <c r="D21" s="249">
        <v>-6009</v>
      </c>
      <c r="E21" s="249">
        <v>-6470</v>
      </c>
      <c r="F21" s="249">
        <v>-7474</v>
      </c>
      <c r="G21" s="249">
        <v>-5222</v>
      </c>
      <c r="H21" s="249">
        <v>-6056</v>
      </c>
      <c r="I21" s="249">
        <v>-5577</v>
      </c>
      <c r="J21" s="249">
        <v>-7867</v>
      </c>
    </row>
    <row r="22" spans="1:18">
      <c r="A22" s="206" t="s">
        <v>39</v>
      </c>
      <c r="B22" s="224">
        <v>-422</v>
      </c>
      <c r="C22" s="224">
        <v>-468</v>
      </c>
      <c r="D22" s="224">
        <v>-457</v>
      </c>
      <c r="E22" s="224">
        <v>-449</v>
      </c>
      <c r="F22" s="224">
        <v>-496</v>
      </c>
      <c r="G22" s="224">
        <v>-444</v>
      </c>
      <c r="H22" s="224">
        <v>-416</v>
      </c>
      <c r="I22" s="224">
        <v>-393</v>
      </c>
      <c r="J22" s="224">
        <v>-345</v>
      </c>
    </row>
    <row r="23" spans="1:18">
      <c r="A23" s="206" t="s">
        <v>310</v>
      </c>
      <c r="B23" s="227">
        <v>13</v>
      </c>
      <c r="C23" s="227">
        <v>-741</v>
      </c>
      <c r="D23" s="227">
        <v>-568</v>
      </c>
      <c r="E23" s="227">
        <v>-52</v>
      </c>
      <c r="F23" s="227">
        <v>411</v>
      </c>
      <c r="G23" s="227">
        <v>42</v>
      </c>
      <c r="H23" s="227">
        <v>186</v>
      </c>
      <c r="I23" s="227">
        <v>-495</v>
      </c>
      <c r="J23" s="227">
        <v>559</v>
      </c>
    </row>
    <row r="24" spans="1:18">
      <c r="A24" s="204" t="s">
        <v>390</v>
      </c>
      <c r="B24" s="245">
        <v>8073</v>
      </c>
      <c r="C24" s="245">
        <v>8385</v>
      </c>
      <c r="D24" s="245">
        <v>10310</v>
      </c>
      <c r="E24" s="245">
        <v>8568</v>
      </c>
      <c r="F24" s="245">
        <v>7086</v>
      </c>
      <c r="G24" s="245">
        <v>7899</v>
      </c>
      <c r="H24" s="245">
        <v>6819</v>
      </c>
      <c r="I24" s="245">
        <v>7555</v>
      </c>
      <c r="J24" s="245">
        <v>7581</v>
      </c>
    </row>
    <row r="25" spans="1:18" ht="14.25" customHeight="1">
      <c r="A25" s="206" t="s">
        <v>380</v>
      </c>
      <c r="B25" s="227">
        <v>-1808</v>
      </c>
      <c r="C25" s="227">
        <v>-2274</v>
      </c>
      <c r="D25" s="227">
        <v>-3226</v>
      </c>
      <c r="E25" s="227">
        <v>-2287</v>
      </c>
      <c r="F25" s="227">
        <v>-1755</v>
      </c>
      <c r="G25" s="227">
        <v>-2885</v>
      </c>
      <c r="H25" s="227">
        <v>-3588</v>
      </c>
      <c r="I25" s="227">
        <v>-1716</v>
      </c>
      <c r="J25" s="227">
        <v>-1588</v>
      </c>
    </row>
    <row r="26" spans="1:18" s="215" customFormat="1">
      <c r="A26" s="204" t="s">
        <v>419</v>
      </c>
      <c r="B26" s="245">
        <v>6265</v>
      </c>
      <c r="C26" s="245">
        <v>6111</v>
      </c>
      <c r="D26" s="245">
        <v>7084</v>
      </c>
      <c r="E26" s="245">
        <v>6281</v>
      </c>
      <c r="F26" s="245">
        <v>5331</v>
      </c>
      <c r="G26" s="245">
        <v>5014</v>
      </c>
      <c r="H26" s="245">
        <v>3231</v>
      </c>
      <c r="I26" s="245">
        <v>5839</v>
      </c>
      <c r="J26" s="245">
        <v>5993</v>
      </c>
    </row>
    <row r="27" spans="1:18">
      <c r="A27" s="206" t="s">
        <v>397</v>
      </c>
      <c r="B27" s="227">
        <v>-41</v>
      </c>
      <c r="C27" s="227">
        <v>20</v>
      </c>
      <c r="D27" s="227">
        <v>7</v>
      </c>
      <c r="E27" s="227">
        <v>10</v>
      </c>
      <c r="F27" s="227">
        <v>-366</v>
      </c>
      <c r="G27" s="227">
        <v>-6</v>
      </c>
      <c r="H27" s="227">
        <v>6819</v>
      </c>
      <c r="I27" s="227">
        <v>96</v>
      </c>
      <c r="J27" s="227">
        <v>529</v>
      </c>
      <c r="R27" s="222"/>
    </row>
    <row r="28" spans="1:18">
      <c r="A28" s="204" t="s">
        <v>8</v>
      </c>
      <c r="B28" s="249">
        <v>6224</v>
      </c>
      <c r="C28" s="249">
        <v>6131</v>
      </c>
      <c r="D28" s="249">
        <v>7091</v>
      </c>
      <c r="E28" s="249">
        <v>6291</v>
      </c>
      <c r="F28" s="249">
        <v>4965</v>
      </c>
      <c r="G28" s="249">
        <v>5008</v>
      </c>
      <c r="H28" s="249">
        <v>10050</v>
      </c>
      <c r="I28" s="249">
        <v>5935</v>
      </c>
      <c r="J28" s="249">
        <v>6522</v>
      </c>
    </row>
    <row r="29" spans="1:18" ht="1.5" customHeight="1">
      <c r="A29" s="204"/>
      <c r="B29" s="228"/>
      <c r="C29" s="228"/>
      <c r="D29" s="228"/>
      <c r="E29" s="228"/>
      <c r="F29" s="228"/>
      <c r="G29" s="228"/>
      <c r="H29" s="228"/>
      <c r="I29" s="228"/>
      <c r="J29" s="228"/>
    </row>
    <row r="30" spans="1:18">
      <c r="A30" s="217"/>
      <c r="B30" s="224"/>
      <c r="C30" s="224"/>
      <c r="D30" s="224"/>
      <c r="E30" s="224"/>
      <c r="F30" s="224"/>
      <c r="G30" s="224"/>
      <c r="H30" s="224"/>
      <c r="I30" s="224"/>
      <c r="J30" s="224"/>
      <c r="N30" s="213"/>
      <c r="O30" s="213"/>
      <c r="P30" s="213"/>
      <c r="Q30" s="213"/>
      <c r="R30" s="213"/>
    </row>
    <row r="31" spans="1:18">
      <c r="A31" s="204" t="s">
        <v>311</v>
      </c>
      <c r="B31" s="224"/>
      <c r="C31" s="224"/>
      <c r="D31" s="224"/>
      <c r="E31" s="224"/>
      <c r="F31" s="224"/>
      <c r="G31" s="224"/>
      <c r="H31" s="224"/>
      <c r="I31" s="224"/>
      <c r="J31" s="224"/>
    </row>
    <row r="32" spans="1:18">
      <c r="A32" s="206" t="s">
        <v>94</v>
      </c>
      <c r="B32" s="224">
        <v>6253</v>
      </c>
      <c r="C32" s="224">
        <v>6136</v>
      </c>
      <c r="D32" s="224">
        <v>7082</v>
      </c>
      <c r="E32" s="224">
        <v>6284</v>
      </c>
      <c r="F32" s="224">
        <v>4959</v>
      </c>
      <c r="G32" s="224">
        <v>5014</v>
      </c>
      <c r="H32" s="224">
        <v>10043</v>
      </c>
      <c r="I32" s="224">
        <v>5929</v>
      </c>
      <c r="J32" s="224">
        <v>6521</v>
      </c>
    </row>
    <row r="33" spans="1:10">
      <c r="A33" s="206" t="s">
        <v>312</v>
      </c>
      <c r="B33" s="227">
        <v>-29</v>
      </c>
      <c r="C33" s="227">
        <v>-5</v>
      </c>
      <c r="D33" s="227">
        <v>9</v>
      </c>
      <c r="E33" s="227">
        <v>7</v>
      </c>
      <c r="F33" s="227">
        <v>6</v>
      </c>
      <c r="G33" s="227">
        <v>-6</v>
      </c>
      <c r="H33" s="227">
        <v>7</v>
      </c>
      <c r="I33" s="227">
        <v>6</v>
      </c>
      <c r="J33" s="227">
        <v>1</v>
      </c>
    </row>
    <row r="34" spans="1:10">
      <c r="A34" s="204" t="s">
        <v>8</v>
      </c>
      <c r="B34" s="249">
        <v>6224</v>
      </c>
      <c r="C34" s="249">
        <v>6131</v>
      </c>
      <c r="D34" s="249">
        <v>7091</v>
      </c>
      <c r="E34" s="249">
        <v>6291</v>
      </c>
      <c r="F34" s="249">
        <v>4965</v>
      </c>
      <c r="G34" s="249">
        <v>5008</v>
      </c>
      <c r="H34" s="249">
        <v>10050</v>
      </c>
      <c r="I34" s="249">
        <v>5935</v>
      </c>
      <c r="J34" s="249">
        <v>6522</v>
      </c>
    </row>
    <row r="35" spans="1:10" ht="1.5" customHeight="1">
      <c r="A35" s="204"/>
      <c r="B35" s="228"/>
      <c r="C35" s="228"/>
      <c r="D35" s="228"/>
      <c r="E35" s="228"/>
      <c r="F35" s="228"/>
      <c r="G35" s="228"/>
      <c r="H35" s="228"/>
      <c r="I35" s="228"/>
      <c r="J35" s="228"/>
    </row>
    <row r="36" spans="1:10">
      <c r="A36" s="204"/>
      <c r="B36" s="224"/>
      <c r="C36" s="224"/>
      <c r="D36" s="224"/>
      <c r="E36" s="224"/>
      <c r="F36" s="224"/>
      <c r="G36" s="224"/>
      <c r="H36" s="224"/>
      <c r="I36" s="224"/>
      <c r="J36" s="224"/>
    </row>
    <row r="37" spans="1:10">
      <c r="A37" s="204"/>
      <c r="B37" s="205"/>
      <c r="C37" s="205"/>
      <c r="D37" s="205"/>
      <c r="E37" s="205"/>
      <c r="F37" s="205"/>
      <c r="G37" s="205"/>
      <c r="H37" s="205"/>
      <c r="I37" s="205"/>
      <c r="J37" s="205"/>
    </row>
    <row r="38" spans="1:10">
      <c r="D38" s="213"/>
      <c r="E38" s="213"/>
      <c r="F38" s="213"/>
      <c r="G38" s="213"/>
      <c r="H38" s="213"/>
      <c r="I38" s="213"/>
      <c r="J38" s="213"/>
    </row>
    <row r="42" spans="1:10" ht="1.5" customHeight="1"/>
    <row r="43" spans="1:10">
      <c r="A43" s="204"/>
      <c r="B43" s="205"/>
      <c r="C43" s="205"/>
      <c r="D43" s="205"/>
      <c r="E43" s="205"/>
      <c r="F43" s="205"/>
      <c r="G43" s="205"/>
      <c r="H43" s="205"/>
      <c r="I43" s="205"/>
      <c r="J43" s="205"/>
    </row>
    <row r="44" spans="1:10">
      <c r="B44" s="205"/>
      <c r="C44" s="205"/>
      <c r="D44" s="205"/>
      <c r="E44" s="205"/>
      <c r="F44" s="205"/>
      <c r="G44" s="205"/>
      <c r="H44" s="205"/>
      <c r="I44" s="205"/>
      <c r="J44" s="205"/>
    </row>
    <row r="45" spans="1:10">
      <c r="B45" s="205"/>
      <c r="C45" s="205"/>
      <c r="D45" s="205"/>
      <c r="E45" s="205"/>
      <c r="F45" s="205"/>
      <c r="G45" s="205"/>
      <c r="H45" s="205"/>
      <c r="I45" s="205"/>
      <c r="J45" s="205"/>
    </row>
    <row r="46" spans="1:10">
      <c r="B46" s="205"/>
      <c r="C46" s="205"/>
      <c r="D46" s="205"/>
      <c r="E46" s="205"/>
      <c r="F46" s="205"/>
      <c r="G46" s="205"/>
      <c r="H46" s="205"/>
      <c r="I46" s="205"/>
      <c r="J46" s="205"/>
    </row>
    <row r="47" spans="1:10">
      <c r="B47" s="205"/>
      <c r="C47" s="205"/>
      <c r="D47" s="205"/>
      <c r="E47" s="205"/>
      <c r="F47" s="205"/>
      <c r="G47" s="205"/>
      <c r="H47" s="205"/>
      <c r="I47" s="205"/>
      <c r="J47" s="205"/>
    </row>
    <row r="48" spans="1:10">
      <c r="B48" s="205"/>
      <c r="C48" s="205"/>
      <c r="D48" s="205"/>
      <c r="E48" s="205"/>
      <c r="F48" s="205"/>
      <c r="G48" s="205"/>
      <c r="H48" s="205"/>
      <c r="I48" s="205"/>
      <c r="J48" s="205"/>
    </row>
    <row r="49" spans="2:10">
      <c r="B49" s="205"/>
      <c r="C49" s="205"/>
      <c r="D49" s="205"/>
      <c r="E49" s="205"/>
      <c r="F49" s="205"/>
      <c r="G49" s="205"/>
      <c r="H49" s="205"/>
      <c r="I49" s="205"/>
      <c r="J49" s="205"/>
    </row>
    <row r="50" spans="2:10">
      <c r="B50" s="205"/>
      <c r="C50" s="205"/>
      <c r="D50" s="205"/>
      <c r="E50" s="205"/>
      <c r="F50" s="205"/>
      <c r="G50" s="205"/>
      <c r="H50" s="205"/>
      <c r="I50" s="205"/>
      <c r="J50" s="205"/>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31.12.2023&amp;C&amp;8&amp;P&amp;R&amp;8______________________________________________________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7" ma:contentTypeDescription="Create a new document." ma:contentTypeScope="" ma:versionID="562aa26a03b49d393eb10335293de9bc">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eec7b569d921171fc2a158cfa15946b2"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_Flow_SignoffStatus" ma:index="34" nillable="true" ma:displayName="Sign-off status" ma:internalName="Sign_x002d_off_x0020_status">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_Flow_SignoffStatus xmlns="64cf75a8-4cab-46f0-84c8-4910b13778e2" xsi:nil="true"/>
  </documentManagement>
</p:properties>
</file>

<file path=customXml/itemProps1.xml><?xml version="1.0" encoding="utf-8"?>
<ds:datastoreItem xmlns:ds="http://schemas.openxmlformats.org/officeDocument/2006/customXml" ds:itemID="{256F0A28-2FB1-4BAC-87A4-438D15966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9BA56A-A947-4FDD-8847-5A220F8A3CA0}">
  <ds:schemaRefs>
    <ds:schemaRef ds:uri="http://schemas.microsoft.com/sharepoint/v3/contenttype/forms"/>
  </ds:schemaRefs>
</ds:datastoreItem>
</file>

<file path=customXml/itemProps3.xml><?xml version="1.0" encoding="utf-8"?>
<ds:datastoreItem xmlns:ds="http://schemas.openxmlformats.org/officeDocument/2006/customXml" ds:itemID="{7406B1A0-8CE7-44A0-8FE8-5AC1A6A2E48B}">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4cf75a8-4cab-46f0-84c8-4910b13778e2"/>
    <ds:schemaRef ds:uri="031ff3a8-7f2c-4c86-877d-17e7ddd4cf3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Arion Bank Factbook 2023</dc:title>
  <dc:creator>Arion Bank</dc:creator>
  <cp:lastModifiedBy>Andrés Magnússon</cp:lastModifiedBy>
  <cp:lastPrinted>2024-02-07T15:15:31Z</cp:lastPrinted>
  <dcterms:created xsi:type="dcterms:W3CDTF">2010-04-14T10:35:17Z</dcterms:created>
  <dcterms:modified xsi:type="dcterms:W3CDTF">2024-02-07T15:15:44Z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-1536989276</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